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O:\Todd L. Cooper, Jr\2025 Elections\050625\Audit - Recounts\"/>
    </mc:Choice>
  </mc:AlternateContent>
  <xr:revisionPtr revIDLastSave="0" documentId="13_ncr:1_{55F77DF3-3234-4BEF-9032-5C1EA7D15457}" xr6:coauthVersionLast="47" xr6:coauthVersionMax="47" xr10:uidLastSave="{00000000-0000-0000-0000-000000000000}"/>
  <bookViews>
    <workbookView xWindow="-110" yWindow="-110" windowWidth="38620" windowHeight="21100" xr2:uid="{00000000-000D-0000-FFFF-FFFF00000000}"/>
  </bookViews>
  <sheets>
    <sheet name="General Info" sheetId="3" r:id="rId1"/>
    <sheet name="Selected Batches" sheetId="6" r:id="rId2"/>
    <sheet name="Audit" sheetId="8" r:id="rId3"/>
    <sheet name="Sampling Data" sheetId="2" r:id="rId4"/>
    <sheet name="Instructions" sheetId="9" r:id="rId5"/>
  </sheets>
  <definedNames>
    <definedName name="_xlnm._FilterDatabase" localSheetId="2" hidden="1">Audit!$A$4:$BL$60</definedName>
    <definedName name="Candidates">Table10[#All]</definedName>
    <definedName name="Contest">GeneralInfo[[#Headers],[Issue 11: Princeton School District Tax]]</definedName>
    <definedName name="_xlnm.Print_Area" localSheetId="2">Audit!$A$1:$BN$61</definedName>
    <definedName name="_xlnm.Print_Titles" localSheetId="2">Audit!$1:$3</definedName>
    <definedName name="_xlnm.Print_Titles" localSheetId="0">'General Info'!$1:$2</definedName>
    <definedName name="_xlnm.Print_Titles" localSheetId="4">Instructions!$1:$1</definedName>
    <definedName name="_xlnm.Print_Titles" localSheetId="3">'Sampling Data'!$1:$3</definedName>
    <definedName name="_xlnm.Print_Titles" localSheetId="1">'Selected Batches'!$1:$2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6" l="1"/>
  <c r="A14" i="6"/>
  <c r="A15" i="6"/>
  <c r="A16" i="6"/>
  <c r="A17" i="6"/>
  <c r="A18" i="6"/>
  <c r="A19" i="6"/>
  <c r="A20" i="6"/>
  <c r="A21" i="6"/>
  <c r="A22" i="6"/>
  <c r="A23" i="6"/>
  <c r="A24" i="6"/>
  <c r="A25" i="6"/>
  <c r="A26" i="6"/>
  <c r="A27" i="6"/>
  <c r="A28" i="6"/>
  <c r="A29" i="6"/>
  <c r="A30" i="6"/>
  <c r="A31" i="6"/>
  <c r="A32" i="6"/>
  <c r="B60" i="8"/>
  <c r="C60" i="8"/>
  <c r="D60" i="8"/>
  <c r="E60" i="8"/>
  <c r="F60" i="8"/>
  <c r="G60" i="8"/>
  <c r="H60" i="8"/>
  <c r="I60" i="8"/>
  <c r="J60" i="8"/>
  <c r="K60" i="8"/>
  <c r="L60" i="8"/>
  <c r="M60" i="8"/>
  <c r="N60" i="8"/>
  <c r="O60" i="8"/>
  <c r="P60" i="8"/>
  <c r="AE60" i="8"/>
  <c r="AF60" i="8"/>
  <c r="AG60" i="8"/>
  <c r="AH60" i="8"/>
  <c r="AI60" i="8"/>
  <c r="AJ60" i="8"/>
  <c r="AK60" i="8"/>
  <c r="AL60" i="8"/>
  <c r="AM60" i="8"/>
  <c r="AN60" i="8"/>
  <c r="AO60" i="8"/>
  <c r="AP60" i="8"/>
  <c r="AV60" i="8"/>
  <c r="AW60" i="8"/>
  <c r="AX60" i="8"/>
  <c r="AY60" i="8"/>
  <c r="AZ60" i="8"/>
  <c r="BA60" i="8"/>
  <c r="BB60" i="8"/>
  <c r="BC60" i="8"/>
  <c r="BD60" i="8"/>
  <c r="BE60"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AE15" i="8"/>
  <c r="AE16" i="8"/>
  <c r="AE17" i="8"/>
  <c r="AE18" i="8"/>
  <c r="AE19" i="8"/>
  <c r="AE20" i="8"/>
  <c r="AE21" i="8"/>
  <c r="AE22" i="8"/>
  <c r="AE23" i="8"/>
  <c r="AE24" i="8"/>
  <c r="AE25" i="8"/>
  <c r="AE26" i="8"/>
  <c r="AE27" i="8"/>
  <c r="AE28" i="8"/>
  <c r="AE29" i="8"/>
  <c r="AE30" i="8"/>
  <c r="AE31" i="8"/>
  <c r="AE32" i="8"/>
  <c r="AE33" i="8"/>
  <c r="AE34" i="8"/>
  <c r="AE35" i="8"/>
  <c r="AE36" i="8"/>
  <c r="AE37" i="8"/>
  <c r="AE38" i="8"/>
  <c r="AE39" i="8"/>
  <c r="AE40" i="8"/>
  <c r="AE41" i="8"/>
  <c r="AE42" i="8"/>
  <c r="AE43" i="8"/>
  <c r="AE44" i="8"/>
  <c r="AE45" i="8"/>
  <c r="AE46" i="8"/>
  <c r="AE47" i="8"/>
  <c r="AE48" i="8"/>
  <c r="AE49" i="8"/>
  <c r="AE50" i="8"/>
  <c r="AE51" i="8"/>
  <c r="AE52" i="8"/>
  <c r="AE53" i="8"/>
  <c r="AE54" i="8"/>
  <c r="AE55" i="8"/>
  <c r="AE56" i="8"/>
  <c r="AE57" i="8"/>
  <c r="AE58" i="8"/>
  <c r="AE59" i="8"/>
  <c r="AF15" i="8"/>
  <c r="AF16" i="8"/>
  <c r="AF17" i="8"/>
  <c r="AF18" i="8"/>
  <c r="AF19" i="8"/>
  <c r="AF20" i="8"/>
  <c r="AF21" i="8"/>
  <c r="AF22" i="8"/>
  <c r="AF23" i="8"/>
  <c r="AF24" i="8"/>
  <c r="AF25" i="8"/>
  <c r="AF26" i="8"/>
  <c r="AF27" i="8"/>
  <c r="AF28" i="8"/>
  <c r="AF29" i="8"/>
  <c r="AF30" i="8"/>
  <c r="AF31" i="8"/>
  <c r="AF32" i="8"/>
  <c r="AF33" i="8"/>
  <c r="AF34" i="8"/>
  <c r="AF35" i="8"/>
  <c r="AF36" i="8"/>
  <c r="AF37" i="8"/>
  <c r="AF38" i="8"/>
  <c r="AF39" i="8"/>
  <c r="AF40" i="8"/>
  <c r="AF41" i="8"/>
  <c r="AF42" i="8"/>
  <c r="AF43" i="8"/>
  <c r="AF44" i="8"/>
  <c r="AF45" i="8"/>
  <c r="AF46" i="8"/>
  <c r="AF47" i="8"/>
  <c r="AF48" i="8"/>
  <c r="AF49" i="8"/>
  <c r="AF50" i="8"/>
  <c r="AF51" i="8"/>
  <c r="AF52" i="8"/>
  <c r="AF53" i="8"/>
  <c r="AF54" i="8"/>
  <c r="AF55" i="8"/>
  <c r="AF56" i="8"/>
  <c r="AF57" i="8"/>
  <c r="AF58" i="8"/>
  <c r="AF59" i="8"/>
  <c r="AG15" i="8"/>
  <c r="AG16" i="8"/>
  <c r="AG17" i="8"/>
  <c r="AG18" i="8"/>
  <c r="AG19" i="8"/>
  <c r="AG20" i="8"/>
  <c r="AG21" i="8"/>
  <c r="AG22" i="8"/>
  <c r="AG23" i="8"/>
  <c r="AG24" i="8"/>
  <c r="AG25" i="8"/>
  <c r="AG26" i="8"/>
  <c r="AG27" i="8"/>
  <c r="AG28" i="8"/>
  <c r="AG29" i="8"/>
  <c r="AG30" i="8"/>
  <c r="AG31" i="8"/>
  <c r="AG32" i="8"/>
  <c r="AG33" i="8"/>
  <c r="AG34" i="8"/>
  <c r="AG35" i="8"/>
  <c r="AG36" i="8"/>
  <c r="AG37" i="8"/>
  <c r="AG38" i="8"/>
  <c r="AG39" i="8"/>
  <c r="AG40" i="8"/>
  <c r="AG41" i="8"/>
  <c r="AG42" i="8"/>
  <c r="AG43" i="8"/>
  <c r="AG44" i="8"/>
  <c r="AG45" i="8"/>
  <c r="AG46" i="8"/>
  <c r="AG47" i="8"/>
  <c r="AG48" i="8"/>
  <c r="AG49" i="8"/>
  <c r="AG50" i="8"/>
  <c r="AG51" i="8"/>
  <c r="AG52" i="8"/>
  <c r="AG53" i="8"/>
  <c r="AG54" i="8"/>
  <c r="AG55" i="8"/>
  <c r="AG56" i="8"/>
  <c r="AG57" i="8"/>
  <c r="AG58" i="8"/>
  <c r="AG59" i="8"/>
  <c r="AH15" i="8"/>
  <c r="AH16" i="8"/>
  <c r="AH17" i="8"/>
  <c r="AH18" i="8"/>
  <c r="AH19" i="8"/>
  <c r="AH20" i="8"/>
  <c r="AH21" i="8"/>
  <c r="AH22" i="8"/>
  <c r="AH23" i="8"/>
  <c r="AH24" i="8"/>
  <c r="AH25" i="8"/>
  <c r="AH26" i="8"/>
  <c r="AH27" i="8"/>
  <c r="AH28" i="8"/>
  <c r="AH29" i="8"/>
  <c r="AH30" i="8"/>
  <c r="AH31" i="8"/>
  <c r="AH32" i="8"/>
  <c r="AH33" i="8"/>
  <c r="AH34" i="8"/>
  <c r="AH35" i="8"/>
  <c r="AH36" i="8"/>
  <c r="AH37" i="8"/>
  <c r="AH38" i="8"/>
  <c r="AH39" i="8"/>
  <c r="AH40" i="8"/>
  <c r="AH41" i="8"/>
  <c r="AH42" i="8"/>
  <c r="AH43" i="8"/>
  <c r="AH44" i="8"/>
  <c r="AH45" i="8"/>
  <c r="AH46" i="8"/>
  <c r="AH47" i="8"/>
  <c r="AH48" i="8"/>
  <c r="AH49" i="8"/>
  <c r="AH50" i="8"/>
  <c r="AH51" i="8"/>
  <c r="AH52" i="8"/>
  <c r="AH53" i="8"/>
  <c r="AH54" i="8"/>
  <c r="AH55" i="8"/>
  <c r="AH56" i="8"/>
  <c r="AH57" i="8"/>
  <c r="AH58" i="8"/>
  <c r="AH59"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58" i="8"/>
  <c r="AI59" i="8"/>
  <c r="AJ15" i="8"/>
  <c r="AJ16" i="8"/>
  <c r="AJ17" i="8"/>
  <c r="AJ18" i="8"/>
  <c r="AJ19" i="8"/>
  <c r="AJ20" i="8"/>
  <c r="AJ21" i="8"/>
  <c r="AJ22" i="8"/>
  <c r="AJ23" i="8"/>
  <c r="AJ24" i="8"/>
  <c r="AJ25" i="8"/>
  <c r="AJ26" i="8"/>
  <c r="AJ27" i="8"/>
  <c r="AJ28" i="8"/>
  <c r="AJ29" i="8"/>
  <c r="AJ30" i="8"/>
  <c r="AJ31" i="8"/>
  <c r="AJ32" i="8"/>
  <c r="AJ33" i="8"/>
  <c r="AJ34" i="8"/>
  <c r="AJ35" i="8"/>
  <c r="AJ36" i="8"/>
  <c r="AJ37" i="8"/>
  <c r="AJ38" i="8"/>
  <c r="AJ39" i="8"/>
  <c r="AJ40" i="8"/>
  <c r="AJ41" i="8"/>
  <c r="AJ42" i="8"/>
  <c r="AJ43" i="8"/>
  <c r="AJ44" i="8"/>
  <c r="AJ45" i="8"/>
  <c r="AJ46" i="8"/>
  <c r="AJ47" i="8"/>
  <c r="AJ48" i="8"/>
  <c r="AJ49" i="8"/>
  <c r="AJ50" i="8"/>
  <c r="AJ51" i="8"/>
  <c r="AJ52" i="8"/>
  <c r="AJ53" i="8"/>
  <c r="AJ54" i="8"/>
  <c r="AJ55" i="8"/>
  <c r="AJ56" i="8"/>
  <c r="AJ57" i="8"/>
  <c r="AJ58" i="8"/>
  <c r="AJ59" i="8"/>
  <c r="AK15" i="8"/>
  <c r="AK16" i="8"/>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L15" i="8"/>
  <c r="AL16" i="8"/>
  <c r="AL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M15" i="8"/>
  <c r="AM16" i="8"/>
  <c r="AM17" i="8"/>
  <c r="AM18" i="8"/>
  <c r="AM19" i="8"/>
  <c r="AM20" i="8"/>
  <c r="AM21" i="8"/>
  <c r="AM22" i="8"/>
  <c r="AM23" i="8"/>
  <c r="AM24" i="8"/>
  <c r="AM25" i="8"/>
  <c r="AM26" i="8"/>
  <c r="AM27" i="8"/>
  <c r="AM28" i="8"/>
  <c r="AM29" i="8"/>
  <c r="AM30" i="8"/>
  <c r="AM31" i="8"/>
  <c r="AM32" i="8"/>
  <c r="AM33" i="8"/>
  <c r="AM34" i="8"/>
  <c r="AM35" i="8"/>
  <c r="AM36" i="8"/>
  <c r="AM37" i="8"/>
  <c r="AM38" i="8"/>
  <c r="AM39" i="8"/>
  <c r="AM40" i="8"/>
  <c r="AM41" i="8"/>
  <c r="AM42" i="8"/>
  <c r="AM43" i="8"/>
  <c r="AM44" i="8"/>
  <c r="AM45" i="8"/>
  <c r="AM46" i="8"/>
  <c r="AM47" i="8"/>
  <c r="AM48" i="8"/>
  <c r="AM49" i="8"/>
  <c r="AM50" i="8"/>
  <c r="AM51" i="8"/>
  <c r="AM52" i="8"/>
  <c r="AM53" i="8"/>
  <c r="AM54" i="8"/>
  <c r="AM55" i="8"/>
  <c r="AM56" i="8"/>
  <c r="AM57" i="8"/>
  <c r="AM58" i="8"/>
  <c r="AM59" i="8"/>
  <c r="AN15" i="8"/>
  <c r="AN16" i="8"/>
  <c r="AN17" i="8"/>
  <c r="AN18" i="8"/>
  <c r="AN19" i="8"/>
  <c r="AN20" i="8"/>
  <c r="AN21" i="8"/>
  <c r="AN22" i="8"/>
  <c r="AN23" i="8"/>
  <c r="AN24" i="8"/>
  <c r="AN25" i="8"/>
  <c r="AN26" i="8"/>
  <c r="AN27" i="8"/>
  <c r="AN28" i="8"/>
  <c r="AN29" i="8"/>
  <c r="AN30" i="8"/>
  <c r="AN31" i="8"/>
  <c r="AN32" i="8"/>
  <c r="AN33" i="8"/>
  <c r="AN34" i="8"/>
  <c r="AN35" i="8"/>
  <c r="AN36" i="8"/>
  <c r="AN37" i="8"/>
  <c r="AN38" i="8"/>
  <c r="AN39" i="8"/>
  <c r="AN40" i="8"/>
  <c r="AN41" i="8"/>
  <c r="AN42" i="8"/>
  <c r="AN43" i="8"/>
  <c r="AN44" i="8"/>
  <c r="AN45" i="8"/>
  <c r="AN46" i="8"/>
  <c r="AN47" i="8"/>
  <c r="AN48" i="8"/>
  <c r="AN49" i="8"/>
  <c r="AN50" i="8"/>
  <c r="AN51" i="8"/>
  <c r="AN52" i="8"/>
  <c r="AN53" i="8"/>
  <c r="AN54" i="8"/>
  <c r="AN55" i="8"/>
  <c r="AN56" i="8"/>
  <c r="AN57" i="8"/>
  <c r="AN58" i="8"/>
  <c r="AN59" i="8"/>
  <c r="AO15" i="8"/>
  <c r="AO16" i="8"/>
  <c r="AO17" i="8"/>
  <c r="AO18" i="8"/>
  <c r="AO19" i="8"/>
  <c r="AO20" i="8"/>
  <c r="AO21" i="8"/>
  <c r="AO22" i="8"/>
  <c r="AO23" i="8"/>
  <c r="AO24" i="8"/>
  <c r="AO25" i="8"/>
  <c r="AO26" i="8"/>
  <c r="AO27" i="8"/>
  <c r="AO28" i="8"/>
  <c r="AO29" i="8"/>
  <c r="AO30" i="8"/>
  <c r="AO31" i="8"/>
  <c r="AO32" i="8"/>
  <c r="AO33" i="8"/>
  <c r="AO34" i="8"/>
  <c r="AO35" i="8"/>
  <c r="AO36" i="8"/>
  <c r="AO37" i="8"/>
  <c r="AO38" i="8"/>
  <c r="AO39" i="8"/>
  <c r="AO40" i="8"/>
  <c r="AO41" i="8"/>
  <c r="AO42" i="8"/>
  <c r="AO43" i="8"/>
  <c r="AO44" i="8"/>
  <c r="AO45" i="8"/>
  <c r="AO46" i="8"/>
  <c r="AO47" i="8"/>
  <c r="AO48" i="8"/>
  <c r="AO49" i="8"/>
  <c r="AO50" i="8"/>
  <c r="AO51" i="8"/>
  <c r="AO52" i="8"/>
  <c r="AO53" i="8"/>
  <c r="AO54" i="8"/>
  <c r="AO55" i="8"/>
  <c r="AO56" i="8"/>
  <c r="AO57" i="8"/>
  <c r="AO58" i="8"/>
  <c r="AO59" i="8"/>
  <c r="AP15" i="8"/>
  <c r="AP16" i="8"/>
  <c r="AP17" i="8"/>
  <c r="AP18" i="8"/>
  <c r="AP19" i="8"/>
  <c r="AP20" i="8"/>
  <c r="AP21" i="8"/>
  <c r="AP22" i="8"/>
  <c r="AP23" i="8"/>
  <c r="AP24" i="8"/>
  <c r="AP25" i="8"/>
  <c r="AP26" i="8"/>
  <c r="AP27" i="8"/>
  <c r="AP28" i="8"/>
  <c r="AP29" i="8"/>
  <c r="AP30" i="8"/>
  <c r="AP31" i="8"/>
  <c r="AP32" i="8"/>
  <c r="AP33" i="8"/>
  <c r="AP34" i="8"/>
  <c r="AP35" i="8"/>
  <c r="AP36" i="8"/>
  <c r="AP37" i="8"/>
  <c r="AP38" i="8"/>
  <c r="AP39" i="8"/>
  <c r="AP40" i="8"/>
  <c r="AP41" i="8"/>
  <c r="AP42" i="8"/>
  <c r="AP43" i="8"/>
  <c r="AP44" i="8"/>
  <c r="AP45" i="8"/>
  <c r="AP46" i="8"/>
  <c r="AP47" i="8"/>
  <c r="AP48" i="8"/>
  <c r="AP49" i="8"/>
  <c r="AP50" i="8"/>
  <c r="AP51" i="8"/>
  <c r="AP52" i="8"/>
  <c r="AP53" i="8"/>
  <c r="AP54" i="8"/>
  <c r="AP55" i="8"/>
  <c r="AP56" i="8"/>
  <c r="AP57" i="8"/>
  <c r="AP58" i="8"/>
  <c r="AP59" i="8"/>
  <c r="AU15" i="8"/>
  <c r="AU16" i="8"/>
  <c r="AU17" i="8"/>
  <c r="AU18" i="8"/>
  <c r="AU19" i="8"/>
  <c r="AU20" i="8"/>
  <c r="AU22" i="8"/>
  <c r="AU24" i="8"/>
  <c r="AU25" i="8"/>
  <c r="AU26" i="8"/>
  <c r="AU27" i="8"/>
  <c r="AU28" i="8"/>
  <c r="AU29" i="8"/>
  <c r="AU31" i="8"/>
  <c r="AU32" i="8"/>
  <c r="AU33" i="8"/>
  <c r="AU39" i="8"/>
  <c r="AU43" i="8"/>
  <c r="AU45" i="8"/>
  <c r="AU46" i="8"/>
  <c r="AU47" i="8"/>
  <c r="AU51" i="8"/>
  <c r="AU53" i="8"/>
  <c r="AU54" i="8"/>
  <c r="AU55" i="8"/>
  <c r="AU56" i="8"/>
  <c r="AU57" i="8"/>
  <c r="AV15" i="8"/>
  <c r="AV16" i="8"/>
  <c r="AV17" i="8"/>
  <c r="AV18" i="8"/>
  <c r="AV19" i="8"/>
  <c r="AV20" i="8"/>
  <c r="AV21" i="8"/>
  <c r="AV22" i="8"/>
  <c r="AV23" i="8"/>
  <c r="AV24" i="8"/>
  <c r="AV25" i="8"/>
  <c r="AV26" i="8"/>
  <c r="AV27" i="8"/>
  <c r="AV28" i="8"/>
  <c r="AV29" i="8"/>
  <c r="AV30" i="8"/>
  <c r="AV31" i="8"/>
  <c r="AV32" i="8"/>
  <c r="AV33" i="8"/>
  <c r="AV34" i="8"/>
  <c r="AV35" i="8"/>
  <c r="AV36" i="8"/>
  <c r="AV37" i="8"/>
  <c r="AV38" i="8"/>
  <c r="AV39" i="8"/>
  <c r="AV40" i="8"/>
  <c r="AV41" i="8"/>
  <c r="AV42" i="8"/>
  <c r="AV43" i="8"/>
  <c r="AV44" i="8"/>
  <c r="AV45" i="8"/>
  <c r="AV46" i="8"/>
  <c r="AV47" i="8"/>
  <c r="AV48" i="8"/>
  <c r="AV49" i="8"/>
  <c r="AV50" i="8"/>
  <c r="AV51" i="8"/>
  <c r="AV52" i="8"/>
  <c r="AV53" i="8"/>
  <c r="AV54" i="8"/>
  <c r="AV55" i="8"/>
  <c r="AV56" i="8"/>
  <c r="AV57" i="8"/>
  <c r="AV58" i="8"/>
  <c r="AV59" i="8"/>
  <c r="AW15" i="8"/>
  <c r="AW16" i="8"/>
  <c r="AW17" i="8"/>
  <c r="AW18" i="8"/>
  <c r="AW19" i="8"/>
  <c r="AW20" i="8"/>
  <c r="AW21" i="8"/>
  <c r="AW22" i="8"/>
  <c r="AW23" i="8"/>
  <c r="AW24" i="8"/>
  <c r="AW25" i="8"/>
  <c r="AW26" i="8"/>
  <c r="AW27" i="8"/>
  <c r="AW28" i="8"/>
  <c r="AW29" i="8"/>
  <c r="AW30" i="8"/>
  <c r="AW31" i="8"/>
  <c r="AW32" i="8"/>
  <c r="AW33" i="8"/>
  <c r="AW34" i="8"/>
  <c r="AW35" i="8"/>
  <c r="AW36" i="8"/>
  <c r="AW37" i="8"/>
  <c r="AW38" i="8"/>
  <c r="AW39" i="8"/>
  <c r="AW40" i="8"/>
  <c r="AW41" i="8"/>
  <c r="AW42" i="8"/>
  <c r="AW43" i="8"/>
  <c r="AW44" i="8"/>
  <c r="AW45" i="8"/>
  <c r="AW46" i="8"/>
  <c r="AW47" i="8"/>
  <c r="AW48" i="8"/>
  <c r="AW49" i="8"/>
  <c r="AW50" i="8"/>
  <c r="AW51" i="8"/>
  <c r="AW52" i="8"/>
  <c r="AW53" i="8"/>
  <c r="AW54" i="8"/>
  <c r="AW55" i="8"/>
  <c r="AW56" i="8"/>
  <c r="AW57" i="8"/>
  <c r="AW58" i="8"/>
  <c r="AW59" i="8"/>
  <c r="AX15" i="8"/>
  <c r="AX16" i="8"/>
  <c r="AX17" i="8"/>
  <c r="AX18" i="8"/>
  <c r="AX19" i="8"/>
  <c r="AX20" i="8"/>
  <c r="AX21" i="8"/>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Y15" i="8"/>
  <c r="AY16" i="8"/>
  <c r="AY17" i="8"/>
  <c r="AY18" i="8"/>
  <c r="AY19" i="8"/>
  <c r="AY20" i="8"/>
  <c r="AY21" i="8"/>
  <c r="AY22" i="8"/>
  <c r="AY23" i="8"/>
  <c r="AY24" i="8"/>
  <c r="AY25" i="8"/>
  <c r="AY26" i="8"/>
  <c r="AY27" i="8"/>
  <c r="AY28" i="8"/>
  <c r="AY29" i="8"/>
  <c r="AY30" i="8"/>
  <c r="AY31" i="8"/>
  <c r="AY32" i="8"/>
  <c r="AY33" i="8"/>
  <c r="AY34" i="8"/>
  <c r="AY35" i="8"/>
  <c r="AY36" i="8"/>
  <c r="AY37" i="8"/>
  <c r="AY38" i="8"/>
  <c r="AY39" i="8"/>
  <c r="AY40" i="8"/>
  <c r="AY41" i="8"/>
  <c r="AY42" i="8"/>
  <c r="AY43" i="8"/>
  <c r="AY44" i="8"/>
  <c r="AY45" i="8"/>
  <c r="AY46" i="8"/>
  <c r="AY47" i="8"/>
  <c r="AY48" i="8"/>
  <c r="AY49" i="8"/>
  <c r="AY50" i="8"/>
  <c r="AY51" i="8"/>
  <c r="AY52" i="8"/>
  <c r="AY53" i="8"/>
  <c r="AY54" i="8"/>
  <c r="AY55" i="8"/>
  <c r="AY56" i="8"/>
  <c r="AY57" i="8"/>
  <c r="AY58" i="8"/>
  <c r="AY59" i="8"/>
  <c r="AZ15" i="8"/>
  <c r="AZ16" i="8"/>
  <c r="AZ17" i="8"/>
  <c r="AZ18" i="8"/>
  <c r="AZ19" i="8"/>
  <c r="AZ20" i="8"/>
  <c r="AZ21" i="8"/>
  <c r="AZ22" i="8"/>
  <c r="AZ23" i="8"/>
  <c r="AZ24" i="8"/>
  <c r="AZ25" i="8"/>
  <c r="AZ26" i="8"/>
  <c r="AZ27" i="8"/>
  <c r="AZ28" i="8"/>
  <c r="AZ29" i="8"/>
  <c r="AZ30" i="8"/>
  <c r="AZ31" i="8"/>
  <c r="AZ32" i="8"/>
  <c r="AZ33" i="8"/>
  <c r="AZ34" i="8"/>
  <c r="AZ35" i="8"/>
  <c r="AZ36" i="8"/>
  <c r="AZ37" i="8"/>
  <c r="AZ38" i="8"/>
  <c r="AZ39" i="8"/>
  <c r="AZ40" i="8"/>
  <c r="AZ41" i="8"/>
  <c r="AZ42" i="8"/>
  <c r="AZ43" i="8"/>
  <c r="AZ44" i="8"/>
  <c r="AZ45" i="8"/>
  <c r="AZ46" i="8"/>
  <c r="AZ47" i="8"/>
  <c r="AZ48" i="8"/>
  <c r="AZ49" i="8"/>
  <c r="AZ50" i="8"/>
  <c r="AZ51" i="8"/>
  <c r="AZ52" i="8"/>
  <c r="AZ53" i="8"/>
  <c r="AZ54" i="8"/>
  <c r="AZ55" i="8"/>
  <c r="AZ56" i="8"/>
  <c r="AZ57" i="8"/>
  <c r="AZ58" i="8"/>
  <c r="AZ59" i="8"/>
  <c r="BA15" i="8"/>
  <c r="BA16" i="8"/>
  <c r="BA17" i="8"/>
  <c r="BA18" i="8"/>
  <c r="BA19" i="8"/>
  <c r="BA20" i="8"/>
  <c r="BA21" i="8"/>
  <c r="BA22" i="8"/>
  <c r="BA23" i="8"/>
  <c r="BA24" i="8"/>
  <c r="BA25" i="8"/>
  <c r="BA26" i="8"/>
  <c r="BA27" i="8"/>
  <c r="BA28" i="8"/>
  <c r="BA29" i="8"/>
  <c r="BA30" i="8"/>
  <c r="BA31" i="8"/>
  <c r="BA32" i="8"/>
  <c r="BA33" i="8"/>
  <c r="BA34" i="8"/>
  <c r="BA35" i="8"/>
  <c r="BA36" i="8"/>
  <c r="BA37" i="8"/>
  <c r="BA38" i="8"/>
  <c r="BA39" i="8"/>
  <c r="BA40" i="8"/>
  <c r="BA41" i="8"/>
  <c r="BA42" i="8"/>
  <c r="BA43" i="8"/>
  <c r="BA44" i="8"/>
  <c r="BA45" i="8"/>
  <c r="BA46" i="8"/>
  <c r="BA47" i="8"/>
  <c r="BA48" i="8"/>
  <c r="BA49" i="8"/>
  <c r="BA50" i="8"/>
  <c r="BA51" i="8"/>
  <c r="BA52" i="8"/>
  <c r="BA53" i="8"/>
  <c r="BA54" i="8"/>
  <c r="BA55" i="8"/>
  <c r="BA56" i="8"/>
  <c r="BA57" i="8"/>
  <c r="BA58" i="8"/>
  <c r="BA59" i="8"/>
  <c r="BB15" i="8"/>
  <c r="BB16" i="8"/>
  <c r="BB17" i="8"/>
  <c r="BB18" i="8"/>
  <c r="BB19" i="8"/>
  <c r="BB20" i="8"/>
  <c r="BB21" i="8"/>
  <c r="BB22" i="8"/>
  <c r="BB23" i="8"/>
  <c r="BB24" i="8"/>
  <c r="BB25" i="8"/>
  <c r="BB26" i="8"/>
  <c r="BB27" i="8"/>
  <c r="BB28" i="8"/>
  <c r="BB29" i="8"/>
  <c r="BB30" i="8"/>
  <c r="BB31" i="8"/>
  <c r="BB32" i="8"/>
  <c r="BB33" i="8"/>
  <c r="BB34" i="8"/>
  <c r="BB35" i="8"/>
  <c r="BB36" i="8"/>
  <c r="BB37" i="8"/>
  <c r="BB38" i="8"/>
  <c r="BB39" i="8"/>
  <c r="BB40" i="8"/>
  <c r="BB41" i="8"/>
  <c r="BB42" i="8"/>
  <c r="BB43" i="8"/>
  <c r="BB44" i="8"/>
  <c r="BB45" i="8"/>
  <c r="BB46" i="8"/>
  <c r="BB47" i="8"/>
  <c r="BB48" i="8"/>
  <c r="BB49" i="8"/>
  <c r="BB50" i="8"/>
  <c r="BB51" i="8"/>
  <c r="BB52" i="8"/>
  <c r="BB53" i="8"/>
  <c r="BB54" i="8"/>
  <c r="BB55" i="8"/>
  <c r="BB56" i="8"/>
  <c r="BB57" i="8"/>
  <c r="BB58" i="8"/>
  <c r="BB59" i="8"/>
  <c r="BC15" i="8"/>
  <c r="BC16" i="8"/>
  <c r="BC17" i="8"/>
  <c r="BC18" i="8"/>
  <c r="BC19" i="8"/>
  <c r="BC20" i="8"/>
  <c r="BC21" i="8"/>
  <c r="BC22" i="8"/>
  <c r="BC23" i="8"/>
  <c r="BC24" i="8"/>
  <c r="BC25" i="8"/>
  <c r="BC26" i="8"/>
  <c r="BC27" i="8"/>
  <c r="BC28" i="8"/>
  <c r="BC29" i="8"/>
  <c r="BC30" i="8"/>
  <c r="BC31" i="8"/>
  <c r="BC32" i="8"/>
  <c r="BC33" i="8"/>
  <c r="BC34" i="8"/>
  <c r="BC35" i="8"/>
  <c r="BC36" i="8"/>
  <c r="BC37" i="8"/>
  <c r="BC38" i="8"/>
  <c r="BC39" i="8"/>
  <c r="BC40" i="8"/>
  <c r="BC41" i="8"/>
  <c r="BC42" i="8"/>
  <c r="BC43" i="8"/>
  <c r="BC44" i="8"/>
  <c r="BC45" i="8"/>
  <c r="BC46" i="8"/>
  <c r="BC47" i="8"/>
  <c r="BC48" i="8"/>
  <c r="BC49" i="8"/>
  <c r="BC50" i="8"/>
  <c r="BC51" i="8"/>
  <c r="BC52" i="8"/>
  <c r="BC53" i="8"/>
  <c r="BC54" i="8"/>
  <c r="BC55" i="8"/>
  <c r="BC56" i="8"/>
  <c r="BC57" i="8"/>
  <c r="BC58" i="8"/>
  <c r="BC59" i="8"/>
  <c r="BD15" i="8"/>
  <c r="BD16" i="8"/>
  <c r="BD17" i="8"/>
  <c r="BD18" i="8"/>
  <c r="BD19" i="8"/>
  <c r="BD20" i="8"/>
  <c r="BD21" i="8"/>
  <c r="BD22" i="8"/>
  <c r="BD23" i="8"/>
  <c r="BD24" i="8"/>
  <c r="BD25" i="8"/>
  <c r="BD26" i="8"/>
  <c r="BD27" i="8"/>
  <c r="BD28" i="8"/>
  <c r="BD29" i="8"/>
  <c r="BD30" i="8"/>
  <c r="BD31" i="8"/>
  <c r="BD32" i="8"/>
  <c r="BD33" i="8"/>
  <c r="BD34" i="8"/>
  <c r="BD35" i="8"/>
  <c r="BD36" i="8"/>
  <c r="BD37" i="8"/>
  <c r="BD38" i="8"/>
  <c r="BD39" i="8"/>
  <c r="BD40" i="8"/>
  <c r="BD41" i="8"/>
  <c r="BD42" i="8"/>
  <c r="BD43" i="8"/>
  <c r="BD44" i="8"/>
  <c r="BD45" i="8"/>
  <c r="BD46" i="8"/>
  <c r="BD47" i="8"/>
  <c r="BD48" i="8"/>
  <c r="BD49" i="8"/>
  <c r="BD50" i="8"/>
  <c r="BD51" i="8"/>
  <c r="BD52" i="8"/>
  <c r="BD53" i="8"/>
  <c r="BD54" i="8"/>
  <c r="BD55" i="8"/>
  <c r="BD56" i="8"/>
  <c r="BD57" i="8"/>
  <c r="BD58" i="8"/>
  <c r="BD59" i="8"/>
  <c r="BE15" i="8"/>
  <c r="BE16" i="8"/>
  <c r="BE17" i="8"/>
  <c r="BE18" i="8"/>
  <c r="BE19" i="8"/>
  <c r="BE20" i="8"/>
  <c r="BE21" i="8"/>
  <c r="BE22" i="8"/>
  <c r="BE23" i="8"/>
  <c r="BE24" i="8"/>
  <c r="BE25" i="8"/>
  <c r="BE26" i="8"/>
  <c r="BE27" i="8"/>
  <c r="BE28" i="8"/>
  <c r="BE29" i="8"/>
  <c r="BE30" i="8"/>
  <c r="BE31" i="8"/>
  <c r="BE32" i="8"/>
  <c r="BE33" i="8"/>
  <c r="BE34" i="8"/>
  <c r="BE35" i="8"/>
  <c r="BE36" i="8"/>
  <c r="BE37" i="8"/>
  <c r="BE38" i="8"/>
  <c r="BE39" i="8"/>
  <c r="BE40" i="8"/>
  <c r="BE41" i="8"/>
  <c r="BE42" i="8"/>
  <c r="BE43" i="8"/>
  <c r="BE44" i="8"/>
  <c r="BE45" i="8"/>
  <c r="BE46" i="8"/>
  <c r="BE47" i="8"/>
  <c r="BE48" i="8"/>
  <c r="BE49" i="8"/>
  <c r="BE50" i="8"/>
  <c r="BE51" i="8"/>
  <c r="BE52" i="8"/>
  <c r="BE53" i="8"/>
  <c r="BE54" i="8"/>
  <c r="BE55" i="8"/>
  <c r="BE56" i="8"/>
  <c r="BE57" i="8"/>
  <c r="BE58" i="8"/>
  <c r="BE59" i="8"/>
  <c r="P37" i="2"/>
  <c r="U37" i="2" s="1"/>
  <c r="P38" i="2"/>
  <c r="Q38" i="8" s="1"/>
  <c r="P39" i="2"/>
  <c r="T39" i="2" s="1"/>
  <c r="AA39" i="2" s="1"/>
  <c r="P40" i="2"/>
  <c r="R40" i="2" s="1"/>
  <c r="Y40" i="2" s="1"/>
  <c r="P41" i="2"/>
  <c r="R41" i="2" s="1"/>
  <c r="P42" i="2"/>
  <c r="R42" i="2" s="1"/>
  <c r="Y42" i="2" s="1"/>
  <c r="P43" i="2"/>
  <c r="S43" i="2" s="1"/>
  <c r="Z43" i="2" s="1"/>
  <c r="P44" i="2"/>
  <c r="S44" i="2" s="1"/>
  <c r="Z44" i="2" s="1"/>
  <c r="P45" i="2"/>
  <c r="S45" i="2" s="1"/>
  <c r="Z45" i="2" s="1"/>
  <c r="P46" i="2"/>
  <c r="T46" i="2" s="1"/>
  <c r="AA46" i="2" s="1"/>
  <c r="P47" i="2"/>
  <c r="S47" i="2" s="1"/>
  <c r="Z47" i="2" s="1"/>
  <c r="P48" i="2"/>
  <c r="T48" i="2" s="1"/>
  <c r="AA48" i="2" s="1"/>
  <c r="P49" i="2"/>
  <c r="U49" i="2" s="1"/>
  <c r="P50" i="2"/>
  <c r="U50" i="2" s="1"/>
  <c r="P51" i="2"/>
  <c r="T51" i="2" s="1"/>
  <c r="AA51" i="2" s="1"/>
  <c r="P52" i="2"/>
  <c r="V52" i="2" s="1"/>
  <c r="P53" i="2"/>
  <c r="V53" i="2" s="1"/>
  <c r="P54" i="2"/>
  <c r="T54" i="2" s="1"/>
  <c r="AA54" i="2" s="1"/>
  <c r="P55" i="2"/>
  <c r="W55" i="2" s="1"/>
  <c r="P56" i="2"/>
  <c r="V56" i="2" s="1"/>
  <c r="P57" i="2"/>
  <c r="U57" i="2" s="1"/>
  <c r="P58" i="2"/>
  <c r="Q58" i="8" s="1"/>
  <c r="P59" i="2"/>
  <c r="Q59" i="8" s="1"/>
  <c r="P60" i="2"/>
  <c r="Q60" i="8" s="1"/>
  <c r="B7" i="3"/>
  <c r="B6" i="3" s="1"/>
  <c r="AQ53" i="8" l="1"/>
  <c r="AR51" i="8"/>
  <c r="AR45" i="8"/>
  <c r="AQ42" i="8"/>
  <c r="AR20" i="8"/>
  <c r="AQ17" i="8"/>
  <c r="AQ56" i="8"/>
  <c r="AQ18" i="8"/>
  <c r="AR47" i="8"/>
  <c r="AQ54" i="8"/>
  <c r="AQ20" i="8"/>
  <c r="AR44" i="8"/>
  <c r="AQ41" i="8"/>
  <c r="AR32" i="8"/>
  <c r="AQ29" i="8"/>
  <c r="AR30" i="8"/>
  <c r="AR34" i="8"/>
  <c r="AR33" i="8"/>
  <c r="AQ30" i="8"/>
  <c r="AR27" i="8"/>
  <c r="AR59" i="8"/>
  <c r="AQ24" i="8"/>
  <c r="AQ48" i="8"/>
  <c r="AR56" i="8"/>
  <c r="AQ60" i="8"/>
  <c r="AR54" i="8"/>
  <c r="AR58" i="8"/>
  <c r="AR21" i="8"/>
  <c r="AR35" i="8"/>
  <c r="AQ32" i="8"/>
  <c r="AR23" i="8"/>
  <c r="AQ31" i="8"/>
  <c r="R37" i="2"/>
  <c r="Y37" i="2" s="1"/>
  <c r="V40" i="2"/>
  <c r="V37" i="2"/>
  <c r="W37" i="2"/>
  <c r="S37" i="2"/>
  <c r="Z37" i="2" s="1"/>
  <c r="V43" i="2"/>
  <c r="V39" i="2"/>
  <c r="V38" i="2"/>
  <c r="U38" i="2"/>
  <c r="S38" i="2"/>
  <c r="Z38" i="2" s="1"/>
  <c r="R39" i="2"/>
  <c r="Y39" i="2" s="1"/>
  <c r="R38" i="2"/>
  <c r="Y38" i="2" s="1"/>
  <c r="Q50" i="8"/>
  <c r="W38" i="2"/>
  <c r="T38" i="2"/>
  <c r="AA38" i="2" s="1"/>
  <c r="W49" i="2"/>
  <c r="S40" i="2"/>
  <c r="Z40" i="2" s="1"/>
  <c r="W39" i="2"/>
  <c r="S39" i="2"/>
  <c r="Z39" i="2" s="1"/>
  <c r="Q54" i="8"/>
  <c r="Q53" i="8"/>
  <c r="Q52" i="8"/>
  <c r="Q51" i="8"/>
  <c r="U39" i="2"/>
  <c r="Q42" i="8"/>
  <c r="Q41" i="8"/>
  <c r="Q40" i="8"/>
  <c r="Q39" i="8"/>
  <c r="Q49" i="8"/>
  <c r="T41" i="2"/>
  <c r="AA41" i="2" s="1"/>
  <c r="T40" i="2"/>
  <c r="AA40" i="2" s="1"/>
  <c r="T37" i="2"/>
  <c r="AA37" i="2" s="1"/>
  <c r="Q37" i="8"/>
  <c r="Q55" i="8"/>
  <c r="Q48" i="8"/>
  <c r="Q45" i="8"/>
  <c r="Q46" i="8"/>
  <c r="Q44" i="8"/>
  <c r="Q47" i="8"/>
  <c r="T43" i="2"/>
  <c r="AA43" i="2" s="1"/>
  <c r="T42" i="2"/>
  <c r="AA42" i="2" s="1"/>
  <c r="Q43" i="8"/>
  <c r="W48" i="2"/>
  <c r="W47" i="2"/>
  <c r="Q57" i="8"/>
  <c r="W40" i="2"/>
  <c r="Q56" i="8"/>
  <c r="AR60" i="8"/>
  <c r="BF28" i="8"/>
  <c r="BG28" i="8" s="1"/>
  <c r="BF15" i="8"/>
  <c r="BG15" i="8" s="1"/>
  <c r="BF51" i="8"/>
  <c r="BG51" i="8" s="1"/>
  <c r="BF27" i="8"/>
  <c r="BG27" i="8" s="1"/>
  <c r="BF24" i="8"/>
  <c r="BG24" i="8" s="1"/>
  <c r="BF45" i="8"/>
  <c r="BG45" i="8" s="1"/>
  <c r="BF53" i="8"/>
  <c r="BG53" i="8" s="1"/>
  <c r="BF29" i="8"/>
  <c r="BG29" i="8" s="1"/>
  <c r="BF39" i="8"/>
  <c r="BG39" i="8" s="1"/>
  <c r="BF18" i="8"/>
  <c r="BG18" i="8" s="1"/>
  <c r="AR39" i="8"/>
  <c r="AR15" i="8"/>
  <c r="BF57" i="8"/>
  <c r="BG57" i="8" s="1"/>
  <c r="BF33" i="8"/>
  <c r="BG33" i="8" s="1"/>
  <c r="AR38" i="8"/>
  <c r="BF26" i="8"/>
  <c r="BG26" i="8" s="1"/>
  <c r="BF56" i="8"/>
  <c r="BG56" i="8" s="1"/>
  <c r="BF32" i="8"/>
  <c r="BG32" i="8" s="1"/>
  <c r="AQ44" i="8"/>
  <c r="AR40" i="8"/>
  <c r="AR16" i="8"/>
  <c r="AR37" i="8"/>
  <c r="AQ51" i="8"/>
  <c r="AQ27" i="8"/>
  <c r="AR48" i="8"/>
  <c r="AR24" i="8"/>
  <c r="AQ45" i="8"/>
  <c r="AQ21" i="8"/>
  <c r="AR42" i="8"/>
  <c r="AR18" i="8"/>
  <c r="AQ39" i="8"/>
  <c r="AQ15" i="8"/>
  <c r="AR36" i="8"/>
  <c r="BF55" i="8"/>
  <c r="BG55" i="8" s="1"/>
  <c r="BF54" i="8"/>
  <c r="BG54" i="8" s="1"/>
  <c r="AQ59" i="8"/>
  <c r="AQ35" i="8"/>
  <c r="BF31" i="8"/>
  <c r="BG31" i="8" s="1"/>
  <c r="AQ58" i="8"/>
  <c r="AQ34" i="8"/>
  <c r="AQ57" i="8"/>
  <c r="AQ33" i="8"/>
  <c r="AQ26" i="8"/>
  <c r="AR41" i="8"/>
  <c r="AR17" i="8"/>
  <c r="AQ38" i="8"/>
  <c r="AR57" i="8"/>
  <c r="BF20" i="8"/>
  <c r="BG20" i="8" s="1"/>
  <c r="BF47" i="8"/>
  <c r="BG47" i="8" s="1"/>
  <c r="BF19" i="8"/>
  <c r="BG19" i="8" s="1"/>
  <c r="BF22" i="8"/>
  <c r="BG22" i="8" s="1"/>
  <c r="BF17" i="8"/>
  <c r="BG17" i="8" s="1"/>
  <c r="BF46" i="8"/>
  <c r="BG46" i="8" s="1"/>
  <c r="BF16" i="8"/>
  <c r="BG16" i="8" s="1"/>
  <c r="BF43" i="8"/>
  <c r="BG43" i="8" s="1"/>
  <c r="AR53" i="8"/>
  <c r="AR29" i="8"/>
  <c r="AQ50" i="8"/>
  <c r="AR50" i="8"/>
  <c r="AR26" i="8"/>
  <c r="AQ47" i="8"/>
  <c r="AQ23" i="8"/>
  <c r="BF25" i="8"/>
  <c r="BG25" i="8" s="1"/>
  <c r="AR55" i="8"/>
  <c r="AR31" i="8"/>
  <c r="AR52" i="8"/>
  <c r="AR28" i="8"/>
  <c r="AR49" i="8"/>
  <c r="AR25" i="8"/>
  <c r="AR46" i="8"/>
  <c r="AR22" i="8"/>
  <c r="AR43" i="8"/>
  <c r="AR19" i="8"/>
  <c r="AQ55" i="8"/>
  <c r="AQ52" i="8"/>
  <c r="AQ28" i="8"/>
  <c r="AQ49" i="8"/>
  <c r="AQ25" i="8"/>
  <c r="AQ46" i="8"/>
  <c r="AQ22" i="8"/>
  <c r="AQ43" i="8"/>
  <c r="AQ19" i="8"/>
  <c r="AQ40" i="8"/>
  <c r="AQ16" i="8"/>
  <c r="AQ37" i="8"/>
  <c r="AQ36" i="8"/>
  <c r="S49" i="2"/>
  <c r="Z49" i="2" s="1"/>
  <c r="W43" i="2"/>
  <c r="S42" i="2"/>
  <c r="Z42" i="2" s="1"/>
  <c r="W42" i="2"/>
  <c r="V49" i="2"/>
  <c r="V47" i="2"/>
  <c r="V48" i="2"/>
  <c r="V45" i="2"/>
  <c r="T44" i="2"/>
  <c r="AA44" i="2" s="1"/>
  <c r="V41" i="2"/>
  <c r="W53" i="2"/>
  <c r="R48" i="2"/>
  <c r="Y48" i="2" s="1"/>
  <c r="V46" i="2"/>
  <c r="W52" i="2"/>
  <c r="S50" i="2"/>
  <c r="Z50" i="2" s="1"/>
  <c r="R49" i="2"/>
  <c r="Y49" i="2" s="1"/>
  <c r="U48" i="2"/>
  <c r="T45" i="2"/>
  <c r="AA45" i="2" s="1"/>
  <c r="V44" i="2"/>
  <c r="V42" i="2"/>
  <c r="W54" i="2"/>
  <c r="W51" i="2"/>
  <c r="W50" i="2"/>
  <c r="U47" i="2"/>
  <c r="S54" i="2"/>
  <c r="Z54" i="2" s="1"/>
  <c r="S53" i="2"/>
  <c r="Z53" i="2" s="1"/>
  <c r="W46" i="2"/>
  <c r="S52" i="2"/>
  <c r="Z52" i="2" s="1"/>
  <c r="W45" i="2"/>
  <c r="S51" i="2"/>
  <c r="Z51" i="2" s="1"/>
  <c r="U45" i="2"/>
  <c r="S41" i="2"/>
  <c r="Z41" i="2" s="1"/>
  <c r="U46" i="2"/>
  <c r="U43" i="2"/>
  <c r="U42" i="2"/>
  <c r="U41" i="2"/>
  <c r="U40" i="2"/>
  <c r="W41" i="2"/>
  <c r="V51" i="2"/>
  <c r="R51" i="2"/>
  <c r="Y51" i="2" s="1"/>
  <c r="W44" i="2"/>
  <c r="U44" i="2"/>
  <c r="V50" i="2"/>
  <c r="R50" i="2"/>
  <c r="Y50" i="2" s="1"/>
  <c r="Y41" i="2"/>
  <c r="R57" i="2"/>
  <c r="Y57" i="2" s="1"/>
  <c r="R56" i="2"/>
  <c r="Y56" i="2" s="1"/>
  <c r="R55" i="2"/>
  <c r="Y55" i="2" s="1"/>
  <c r="S57" i="2"/>
  <c r="Z57" i="2" s="1"/>
  <c r="R54" i="2"/>
  <c r="S56" i="2"/>
  <c r="Z56" i="2" s="1"/>
  <c r="R53" i="2"/>
  <c r="Y53" i="2" s="1"/>
  <c r="S55" i="2"/>
  <c r="Z55" i="2" s="1"/>
  <c r="R52" i="2"/>
  <c r="R47" i="2"/>
  <c r="Y47" i="2" s="1"/>
  <c r="R45" i="2"/>
  <c r="T55" i="2"/>
  <c r="AA55" i="2" s="1"/>
  <c r="T56" i="2"/>
  <c r="AA56" i="2" s="1"/>
  <c r="T53" i="2"/>
  <c r="AA53" i="2" s="1"/>
  <c r="V57" i="2"/>
  <c r="U54" i="2"/>
  <c r="S48" i="2"/>
  <c r="Z48" i="2" s="1"/>
  <c r="T50" i="2"/>
  <c r="AA50" i="2" s="1"/>
  <c r="U52" i="2"/>
  <c r="T49" i="2"/>
  <c r="AA49" i="2" s="1"/>
  <c r="W57" i="2"/>
  <c r="V54" i="2"/>
  <c r="U51" i="2"/>
  <c r="T57" i="2"/>
  <c r="AA57" i="2" s="1"/>
  <c r="T52" i="2"/>
  <c r="AA52" i="2" s="1"/>
  <c r="U53" i="2"/>
  <c r="R44" i="2"/>
  <c r="Y44" i="2" s="1"/>
  <c r="V55" i="2"/>
  <c r="S46" i="2"/>
  <c r="Z46" i="2" s="1"/>
  <c r="W56" i="2"/>
  <c r="T47" i="2"/>
  <c r="AA47" i="2" s="1"/>
  <c r="U56" i="2"/>
  <c r="U55" i="2"/>
  <c r="R46" i="2"/>
  <c r="Y46" i="2" s="1"/>
  <c r="R43" i="2"/>
  <c r="Y43" i="2" s="1"/>
  <c r="R59" i="2"/>
  <c r="Y59" i="2" s="1"/>
  <c r="W59" i="2"/>
  <c r="T59" i="2"/>
  <c r="AA59" i="2" s="1"/>
  <c r="V59" i="2"/>
  <c r="S59" i="2"/>
  <c r="Z59" i="2" s="1"/>
  <c r="U59" i="2"/>
  <c r="R58" i="2"/>
  <c r="Y58" i="2" s="1"/>
  <c r="W58" i="2"/>
  <c r="T58" i="2"/>
  <c r="AA58" i="2" s="1"/>
  <c r="V58" i="2"/>
  <c r="S58" i="2"/>
  <c r="Z58" i="2" s="1"/>
  <c r="U58" i="2"/>
  <c r="S60" i="2"/>
  <c r="Z60" i="2" s="1"/>
  <c r="R60" i="2"/>
  <c r="Y60" i="2" s="1"/>
  <c r="T60" i="2"/>
  <c r="AA60" i="2" s="1"/>
  <c r="V60" i="2"/>
  <c r="U60" i="2"/>
  <c r="W60" i="2"/>
  <c r="Y54" i="2" l="1"/>
  <c r="Y45" i="2"/>
  <c r="Y52" i="2"/>
  <c r="C46" i="9" l="1"/>
  <c r="C45" i="9"/>
  <c r="S61" i="8" l="1"/>
  <c r="T61" i="8"/>
  <c r="U61" i="8"/>
  <c r="V61" i="8"/>
  <c r="W61" i="8"/>
  <c r="X61" i="8"/>
  <c r="Y61" i="8"/>
  <c r="Z61" i="8"/>
  <c r="AA61" i="8"/>
  <c r="AB61" i="8"/>
  <c r="AC61" i="8"/>
  <c r="AD61" i="8"/>
  <c r="BE5" i="8" l="1"/>
  <c r="BE6" i="8"/>
  <c r="BE7" i="8"/>
  <c r="BE8" i="8"/>
  <c r="BE9" i="8"/>
  <c r="BE10" i="8"/>
  <c r="BE11" i="8"/>
  <c r="BE12" i="8"/>
  <c r="BE13" i="8"/>
  <c r="BE14" i="8"/>
  <c r="BD5" i="8"/>
  <c r="BD6" i="8"/>
  <c r="BD7" i="8"/>
  <c r="BD8" i="8"/>
  <c r="BD9" i="8"/>
  <c r="BD10" i="8"/>
  <c r="BD11" i="8"/>
  <c r="BD12" i="8"/>
  <c r="BD13" i="8"/>
  <c r="BD14" i="8"/>
  <c r="BC5" i="8"/>
  <c r="BC6" i="8"/>
  <c r="BC7" i="8"/>
  <c r="BC8" i="8"/>
  <c r="BC9" i="8"/>
  <c r="BC10" i="8"/>
  <c r="BC11" i="8"/>
  <c r="BC12" i="8"/>
  <c r="BC13" i="8"/>
  <c r="BC14" i="8"/>
  <c r="BB5" i="8"/>
  <c r="BB6" i="8"/>
  <c r="BB7" i="8"/>
  <c r="BB8" i="8"/>
  <c r="BB9" i="8"/>
  <c r="BB10" i="8"/>
  <c r="BB11" i="8"/>
  <c r="BB12" i="8"/>
  <c r="BB13" i="8"/>
  <c r="BB14" i="8"/>
  <c r="BA5" i="8"/>
  <c r="BE3" i="8"/>
  <c r="BD3" i="8"/>
  <c r="BC3" i="8"/>
  <c r="BB3" i="8"/>
  <c r="AZ3" i="8"/>
  <c r="AY3" i="8"/>
  <c r="BA6" i="8"/>
  <c r="BA7" i="8"/>
  <c r="BA8" i="8"/>
  <c r="BA9" i="8"/>
  <c r="BA10" i="8"/>
  <c r="BA11" i="8"/>
  <c r="BA12" i="8"/>
  <c r="BA13" i="8"/>
  <c r="BA14" i="8"/>
  <c r="AZ5" i="8"/>
  <c r="AZ6" i="8"/>
  <c r="AZ7" i="8"/>
  <c r="AZ8" i="8"/>
  <c r="AZ9" i="8"/>
  <c r="AZ10" i="8"/>
  <c r="AZ11" i="8"/>
  <c r="AZ12" i="8"/>
  <c r="AZ13" i="8"/>
  <c r="AZ14" i="8"/>
  <c r="AY5" i="8"/>
  <c r="AY6" i="8"/>
  <c r="AY7" i="8"/>
  <c r="AY8" i="8"/>
  <c r="AY9" i="8"/>
  <c r="AY10" i="8"/>
  <c r="AY11" i="8"/>
  <c r="AY12" i="8"/>
  <c r="AY13" i="8"/>
  <c r="AY14" i="8"/>
  <c r="AX5" i="8"/>
  <c r="AX6" i="8"/>
  <c r="AX7" i="8"/>
  <c r="AX8" i="8"/>
  <c r="AX9" i="8"/>
  <c r="AX10" i="8"/>
  <c r="AX11" i="8"/>
  <c r="AX12" i="8"/>
  <c r="AX13" i="8"/>
  <c r="AX14" i="8"/>
  <c r="AW5" i="8"/>
  <c r="AW6" i="8"/>
  <c r="AW7" i="8"/>
  <c r="AW8" i="8"/>
  <c r="AW9" i="8"/>
  <c r="AW10" i="8"/>
  <c r="AW11" i="8"/>
  <c r="AW12" i="8"/>
  <c r="AW13" i="8"/>
  <c r="AW14" i="8"/>
  <c r="AV5" i="8"/>
  <c r="AV6" i="8"/>
  <c r="AV7" i="8"/>
  <c r="AV8" i="8"/>
  <c r="AV9" i="8"/>
  <c r="AV10" i="8"/>
  <c r="AV11" i="8"/>
  <c r="AV12" i="8"/>
  <c r="AV13" i="8"/>
  <c r="AV14" i="8"/>
  <c r="AU5" i="8"/>
  <c r="AU6" i="8"/>
  <c r="AU7" i="8"/>
  <c r="AU8" i="8"/>
  <c r="AU9" i="8"/>
  <c r="AU10" i="8"/>
  <c r="AU11" i="8"/>
  <c r="AU12" i="8"/>
  <c r="AU13" i="8"/>
  <c r="AU14" i="8"/>
  <c r="BF14" i="8" l="1"/>
  <c r="BF10" i="8"/>
  <c r="BF6" i="8"/>
  <c r="BF9" i="8"/>
  <c r="BF5" i="8"/>
  <c r="AW61" i="8"/>
  <c r="AY61" i="8"/>
  <c r="BB61" i="8"/>
  <c r="BD61" i="8"/>
  <c r="BF13" i="8"/>
  <c r="AV61" i="8"/>
  <c r="AX61" i="8"/>
  <c r="AZ61" i="8"/>
  <c r="BA61" i="8"/>
  <c r="BC61" i="8"/>
  <c r="BE61" i="8"/>
  <c r="BF12" i="8"/>
  <c r="BF8" i="8"/>
  <c r="BF11" i="8"/>
  <c r="BF7" i="8"/>
  <c r="AP3" i="8"/>
  <c r="AO3" i="8"/>
  <c r="AN3" i="8"/>
  <c r="AM3" i="8"/>
  <c r="AK3" i="8"/>
  <c r="AJ3" i="8"/>
  <c r="AM5" i="8"/>
  <c r="AN5" i="8"/>
  <c r="AO5" i="8"/>
  <c r="AP5" i="8"/>
  <c r="AM6" i="8"/>
  <c r="AN6" i="8"/>
  <c r="AO6" i="8"/>
  <c r="AP6" i="8"/>
  <c r="AM7" i="8"/>
  <c r="AN7" i="8"/>
  <c r="AO7" i="8"/>
  <c r="AP7" i="8"/>
  <c r="AM8" i="8"/>
  <c r="AN8" i="8"/>
  <c r="AO8" i="8"/>
  <c r="AP8" i="8"/>
  <c r="AM9" i="8"/>
  <c r="AN9" i="8"/>
  <c r="AO9" i="8"/>
  <c r="AP9" i="8"/>
  <c r="AM10" i="8"/>
  <c r="AN10" i="8"/>
  <c r="AO10" i="8"/>
  <c r="AP10" i="8"/>
  <c r="AM11" i="8"/>
  <c r="AN11" i="8"/>
  <c r="AO11" i="8"/>
  <c r="AP11" i="8"/>
  <c r="AM12" i="8"/>
  <c r="AN12" i="8"/>
  <c r="AO12" i="8"/>
  <c r="AP12" i="8"/>
  <c r="AM13" i="8"/>
  <c r="AN13" i="8"/>
  <c r="AO13" i="8"/>
  <c r="AP13" i="8"/>
  <c r="AM14" i="8"/>
  <c r="AN14" i="8"/>
  <c r="AO14" i="8"/>
  <c r="AP14" i="8"/>
  <c r="AD3" i="8"/>
  <c r="AC3" i="8"/>
  <c r="AB3" i="8"/>
  <c r="AA3" i="8"/>
  <c r="Y3" i="8"/>
  <c r="X3" i="8"/>
  <c r="K5" i="8"/>
  <c r="L5" i="8"/>
  <c r="M5" i="8"/>
  <c r="N5" i="8"/>
  <c r="K6" i="8"/>
  <c r="L6" i="8"/>
  <c r="M6" i="8"/>
  <c r="N6" i="8"/>
  <c r="K7" i="8"/>
  <c r="L7" i="8"/>
  <c r="M7" i="8"/>
  <c r="N7" i="8"/>
  <c r="K8" i="8"/>
  <c r="L8" i="8"/>
  <c r="M8" i="8"/>
  <c r="N8" i="8"/>
  <c r="K9" i="8"/>
  <c r="L9" i="8"/>
  <c r="M9" i="8"/>
  <c r="N9" i="8"/>
  <c r="K10" i="8"/>
  <c r="L10" i="8"/>
  <c r="M10" i="8"/>
  <c r="N10" i="8"/>
  <c r="K11" i="8"/>
  <c r="L11" i="8"/>
  <c r="M11" i="8"/>
  <c r="N11" i="8"/>
  <c r="K12" i="8"/>
  <c r="L12" i="8"/>
  <c r="M12" i="8"/>
  <c r="N12" i="8"/>
  <c r="K13" i="8"/>
  <c r="L13" i="8"/>
  <c r="M13" i="8"/>
  <c r="N13" i="8"/>
  <c r="K14" i="8"/>
  <c r="L14" i="8"/>
  <c r="M14" i="8"/>
  <c r="N14" i="8"/>
  <c r="AA3" i="2"/>
  <c r="Z3" i="2"/>
  <c r="Y3" i="2"/>
  <c r="X3" i="2"/>
  <c r="V3" i="2"/>
  <c r="U3" i="2"/>
  <c r="M3" i="2"/>
  <c r="L3" i="2"/>
  <c r="K3" i="2"/>
  <c r="J3" i="2"/>
  <c r="N3" i="8"/>
  <c r="M3" i="8"/>
  <c r="L3" i="8"/>
  <c r="K3" i="8"/>
  <c r="AP61" i="8" l="1"/>
  <c r="AO61" i="8"/>
  <c r="N61" i="8"/>
  <c r="AN61" i="8"/>
  <c r="M61" i="8"/>
  <c r="AM61" i="8"/>
  <c r="K61" i="8"/>
  <c r="L61" i="8"/>
  <c r="P33" i="2"/>
  <c r="Q33" i="8" s="1"/>
  <c r="P34" i="2"/>
  <c r="Q34" i="8" s="1"/>
  <c r="P35" i="2"/>
  <c r="Q35" i="8" s="1"/>
  <c r="P36" i="2"/>
  <c r="Q36" i="8" s="1"/>
  <c r="P15" i="2"/>
  <c r="Q15" i="8" s="1"/>
  <c r="P16" i="2"/>
  <c r="Q16" i="8" s="1"/>
  <c r="P17" i="2"/>
  <c r="Q17" i="8" s="1"/>
  <c r="P18" i="2"/>
  <c r="Q18" i="8" s="1"/>
  <c r="P19" i="2"/>
  <c r="Q19" i="8" s="1"/>
  <c r="P20" i="2"/>
  <c r="Q20" i="8" s="1"/>
  <c r="P21" i="2"/>
  <c r="Q21" i="8" s="1"/>
  <c r="P22" i="2"/>
  <c r="Q22" i="8" s="1"/>
  <c r="P23" i="2"/>
  <c r="Q23" i="8" s="1"/>
  <c r="P24" i="2"/>
  <c r="Q24" i="8" s="1"/>
  <c r="P25" i="2"/>
  <c r="Q25" i="8" s="1"/>
  <c r="P26" i="2"/>
  <c r="Q26" i="8" s="1"/>
  <c r="P27" i="2"/>
  <c r="Q27" i="8" s="1"/>
  <c r="P28" i="2"/>
  <c r="Q28" i="8" s="1"/>
  <c r="P29" i="2"/>
  <c r="Q29" i="8" s="1"/>
  <c r="P30" i="2"/>
  <c r="Q30" i="8" s="1"/>
  <c r="P31" i="2"/>
  <c r="Q31" i="8" s="1"/>
  <c r="P32" i="2"/>
  <c r="Q32" i="8" s="1"/>
  <c r="V28" i="2" l="1"/>
  <c r="V20" i="2"/>
  <c r="V16" i="2"/>
  <c r="V31" i="2"/>
  <c r="V19" i="2"/>
  <c r="U33" i="2"/>
  <c r="V33" i="2"/>
  <c r="S30" i="2"/>
  <c r="Z30" i="2" s="1"/>
  <c r="V30" i="2"/>
  <c r="R26" i="2"/>
  <c r="Y26" i="2" s="1"/>
  <c r="V26" i="2"/>
  <c r="V22" i="2"/>
  <c r="R18" i="2"/>
  <c r="Y18" i="2" s="1"/>
  <c r="V18" i="2"/>
  <c r="V36" i="2"/>
  <c r="V32" i="2"/>
  <c r="V24" i="2"/>
  <c r="V34" i="2"/>
  <c r="V27" i="2"/>
  <c r="V23" i="2"/>
  <c r="V15" i="2"/>
  <c r="V29" i="2"/>
  <c r="S25" i="2"/>
  <c r="Z25" i="2" s="1"/>
  <c r="V25" i="2"/>
  <c r="V21" i="2"/>
  <c r="R17" i="2"/>
  <c r="Y17" i="2" s="1"/>
  <c r="V17" i="2"/>
  <c r="V35" i="2"/>
  <c r="S33" i="2"/>
  <c r="Z33" i="2" s="1"/>
  <c r="S34" i="2"/>
  <c r="Z34" i="2" s="1"/>
  <c r="W34" i="2"/>
  <c r="U34" i="2"/>
  <c r="R21" i="2"/>
  <c r="Y21" i="2" s="1"/>
  <c r="T34" i="2"/>
  <c r="AA34" i="2" s="1"/>
  <c r="U22" i="2"/>
  <c r="R22" i="2"/>
  <c r="Y22" i="2" s="1"/>
  <c r="T22" i="2"/>
  <c r="AA22" i="2" s="1"/>
  <c r="S26" i="2"/>
  <c r="Z26" i="2" s="1"/>
  <c r="W26" i="2"/>
  <c r="U30" i="2"/>
  <c r="S22" i="2"/>
  <c r="Z22" i="2" s="1"/>
  <c r="T31" i="2"/>
  <c r="AA31" i="2" s="1"/>
  <c r="T23" i="2"/>
  <c r="AA23" i="2" s="1"/>
  <c r="W19" i="2"/>
  <c r="W36" i="2"/>
  <c r="R36" i="2"/>
  <c r="Y36" i="2" s="1"/>
  <c r="U36" i="2"/>
  <c r="T15" i="2"/>
  <c r="AA15" i="2" s="1"/>
  <c r="T21" i="2"/>
  <c r="AA21" i="2" s="1"/>
  <c r="R29" i="2"/>
  <c r="Y29" i="2" s="1"/>
  <c r="W33" i="2"/>
  <c r="S36" i="2"/>
  <c r="Z36" i="2" s="1"/>
  <c r="R33" i="2"/>
  <c r="Y33" i="2" s="1"/>
  <c r="W25" i="2"/>
  <c r="U29" i="2"/>
  <c r="T33" i="2"/>
  <c r="AA33" i="2" s="1"/>
  <c r="T36" i="2"/>
  <c r="AA36" i="2" s="1"/>
  <c r="T27" i="2"/>
  <c r="AA27" i="2" s="1"/>
  <c r="W18" i="2"/>
  <c r="U23" i="2"/>
  <c r="T26" i="2"/>
  <c r="AA26" i="2" s="1"/>
  <c r="T19" i="2"/>
  <c r="AA19" i="2" s="1"/>
  <c r="R30" i="2"/>
  <c r="Y30" i="2" s="1"/>
  <c r="R20" i="2"/>
  <c r="Y20" i="2" s="1"/>
  <c r="R34" i="2"/>
  <c r="Y34" i="2" s="1"/>
  <c r="U17" i="2"/>
  <c r="T17" i="2"/>
  <c r="AA17" i="2" s="1"/>
  <c r="W30" i="2"/>
  <c r="W22" i="2"/>
  <c r="W17" i="2"/>
  <c r="U26" i="2"/>
  <c r="U21" i="2"/>
  <c r="T30" i="2"/>
  <c r="AA30" i="2" s="1"/>
  <c r="T25" i="2"/>
  <c r="AA25" i="2" s="1"/>
  <c r="S21" i="2"/>
  <c r="Z21" i="2" s="1"/>
  <c r="W35" i="2"/>
  <c r="U35" i="2"/>
  <c r="T35" i="2"/>
  <c r="AA35" i="2" s="1"/>
  <c r="S35" i="2"/>
  <c r="Z35" i="2" s="1"/>
  <c r="R35" i="2"/>
  <c r="Y35" i="2" s="1"/>
  <c r="W29" i="2"/>
  <c r="W21" i="2"/>
  <c r="U25" i="2"/>
  <c r="U18" i="2"/>
  <c r="T29" i="2"/>
  <c r="AA29" i="2" s="1"/>
  <c r="T18" i="2"/>
  <c r="AA18" i="2" s="1"/>
  <c r="S29" i="2"/>
  <c r="Z29" i="2" s="1"/>
  <c r="S18" i="2"/>
  <c r="Z18" i="2" s="1"/>
  <c r="R25" i="2"/>
  <c r="Y25" i="2" s="1"/>
  <c r="S17" i="2"/>
  <c r="Z17" i="2" s="1"/>
  <c r="R28" i="2"/>
  <c r="Y28" i="2" s="1"/>
  <c r="R32" i="2"/>
  <c r="Y32" i="2" s="1"/>
  <c r="R16" i="2"/>
  <c r="Y16" i="2" s="1"/>
  <c r="T32" i="2"/>
  <c r="AA32" i="2" s="1"/>
  <c r="T28" i="2"/>
  <c r="AA28" i="2" s="1"/>
  <c r="T24" i="2"/>
  <c r="AA24" i="2" s="1"/>
  <c r="T20" i="2"/>
  <c r="AA20" i="2" s="1"/>
  <c r="T16" i="2"/>
  <c r="AA16" i="2" s="1"/>
  <c r="R24" i="2"/>
  <c r="Y24" i="2" s="1"/>
  <c r="W31" i="2"/>
  <c r="W15" i="2"/>
  <c r="U19" i="2"/>
  <c r="W23" i="2"/>
  <c r="U27" i="2"/>
  <c r="W27" i="2"/>
  <c r="U31" i="2"/>
  <c r="U15" i="2"/>
  <c r="R31" i="2"/>
  <c r="Y31" i="2" s="1"/>
  <c r="R27" i="2"/>
  <c r="Y27" i="2" s="1"/>
  <c r="R23" i="2"/>
  <c r="Y23" i="2" s="1"/>
  <c r="R19" i="2"/>
  <c r="Y19" i="2" s="1"/>
  <c r="R15" i="2"/>
  <c r="Y15" i="2" s="1"/>
  <c r="W32" i="2"/>
  <c r="W28" i="2"/>
  <c r="W24" i="2"/>
  <c r="W20" i="2"/>
  <c r="W16" i="2"/>
  <c r="U32" i="2"/>
  <c r="U28" i="2"/>
  <c r="U24" i="2"/>
  <c r="U20" i="2"/>
  <c r="U16" i="2"/>
  <c r="S32" i="2"/>
  <c r="Z32" i="2" s="1"/>
  <c r="S28" i="2"/>
  <c r="Z28" i="2" s="1"/>
  <c r="S24" i="2"/>
  <c r="Z24" i="2" s="1"/>
  <c r="S20" i="2"/>
  <c r="Z20" i="2" s="1"/>
  <c r="S16" i="2"/>
  <c r="Z16" i="2" s="1"/>
  <c r="S31" i="2"/>
  <c r="Z31" i="2" s="1"/>
  <c r="S27" i="2"/>
  <c r="Z27" i="2" s="1"/>
  <c r="S23" i="2"/>
  <c r="Z23" i="2" s="1"/>
  <c r="S19" i="2"/>
  <c r="Z19" i="2" s="1"/>
  <c r="S15" i="2"/>
  <c r="Z15" i="2" s="1"/>
  <c r="AL5" i="8" l="1"/>
  <c r="AL6" i="8"/>
  <c r="AL7" i="8"/>
  <c r="AL8" i="8"/>
  <c r="AL9" i="8"/>
  <c r="AL10" i="8"/>
  <c r="AL11" i="8"/>
  <c r="AL12" i="8"/>
  <c r="AL13" i="8"/>
  <c r="AL14" i="8"/>
  <c r="AK5" i="8"/>
  <c r="AK6" i="8"/>
  <c r="AK7" i="8"/>
  <c r="AK8" i="8"/>
  <c r="AK9" i="8"/>
  <c r="AK10" i="8"/>
  <c r="AK11" i="8"/>
  <c r="AK12" i="8"/>
  <c r="AK13" i="8"/>
  <c r="AK14" i="8"/>
  <c r="AJ5" i="8"/>
  <c r="AJ6" i="8"/>
  <c r="AJ7" i="8"/>
  <c r="AJ8" i="8"/>
  <c r="AJ9" i="8"/>
  <c r="AJ10" i="8"/>
  <c r="AJ11" i="8"/>
  <c r="AJ12" i="8"/>
  <c r="AJ13" i="8"/>
  <c r="AJ14" i="8"/>
  <c r="AI5" i="8"/>
  <c r="AI6" i="8"/>
  <c r="AI7" i="8"/>
  <c r="AI8" i="8"/>
  <c r="AI9" i="8"/>
  <c r="AI10" i="8"/>
  <c r="AI11" i="8"/>
  <c r="AI12" i="8"/>
  <c r="AI13" i="8"/>
  <c r="AI14" i="8"/>
  <c r="AH5" i="8"/>
  <c r="AH6" i="8"/>
  <c r="AH7" i="8"/>
  <c r="AH8" i="8"/>
  <c r="AH9" i="8"/>
  <c r="AH10" i="8"/>
  <c r="AH11" i="8"/>
  <c r="AH12" i="8"/>
  <c r="AH13" i="8"/>
  <c r="AH14" i="8"/>
  <c r="AG5" i="8"/>
  <c r="AG6" i="8"/>
  <c r="AG7" i="8"/>
  <c r="AG8" i="8"/>
  <c r="AG9" i="8"/>
  <c r="AG10" i="8"/>
  <c r="AG11" i="8"/>
  <c r="AG12" i="8"/>
  <c r="AG13" i="8"/>
  <c r="AG14" i="8"/>
  <c r="AF5" i="8"/>
  <c r="AF6" i="8"/>
  <c r="AF7" i="8"/>
  <c r="AF8" i="8"/>
  <c r="AF9" i="8"/>
  <c r="AF10" i="8"/>
  <c r="AF11" i="8"/>
  <c r="AF12" i="8"/>
  <c r="AF13" i="8"/>
  <c r="AF14" i="8"/>
  <c r="B5" i="8"/>
  <c r="B6" i="8"/>
  <c r="B7" i="8"/>
  <c r="B8" i="8"/>
  <c r="B9" i="8"/>
  <c r="B10" i="8"/>
  <c r="B11" i="8"/>
  <c r="B12" i="8"/>
  <c r="B13" i="8"/>
  <c r="B14" i="8"/>
  <c r="C5" i="8"/>
  <c r="C6" i="8"/>
  <c r="C7" i="8"/>
  <c r="C8" i="8"/>
  <c r="C9" i="8"/>
  <c r="C10" i="8"/>
  <c r="C11" i="8"/>
  <c r="C12" i="8"/>
  <c r="C13" i="8"/>
  <c r="C14" i="8"/>
  <c r="D5" i="8"/>
  <c r="D6" i="8"/>
  <c r="D7" i="8"/>
  <c r="D8" i="8"/>
  <c r="D9" i="8"/>
  <c r="D10" i="8"/>
  <c r="D11" i="8"/>
  <c r="D12" i="8"/>
  <c r="D13" i="8"/>
  <c r="D14" i="8"/>
  <c r="E5" i="8"/>
  <c r="E6" i="8"/>
  <c r="E7" i="8"/>
  <c r="E8" i="8"/>
  <c r="E9" i="8"/>
  <c r="E10" i="8"/>
  <c r="E11" i="8"/>
  <c r="E12" i="8"/>
  <c r="E13" i="8"/>
  <c r="E14" i="8"/>
  <c r="F5" i="8"/>
  <c r="F6" i="8"/>
  <c r="F7" i="8"/>
  <c r="F8" i="8"/>
  <c r="F9" i="8"/>
  <c r="F10" i="8"/>
  <c r="F11" i="8"/>
  <c r="F12" i="8"/>
  <c r="F13" i="8"/>
  <c r="F14" i="8"/>
  <c r="G5" i="8"/>
  <c r="G6" i="8"/>
  <c r="G7" i="8"/>
  <c r="G8" i="8"/>
  <c r="G9" i="8"/>
  <c r="G10" i="8"/>
  <c r="G11" i="8"/>
  <c r="G12" i="8"/>
  <c r="G13" i="8"/>
  <c r="G14" i="8"/>
  <c r="H5" i="8"/>
  <c r="H6" i="8"/>
  <c r="H7" i="8"/>
  <c r="H8" i="8"/>
  <c r="H9" i="8"/>
  <c r="H10" i="8"/>
  <c r="H11" i="8"/>
  <c r="H12" i="8"/>
  <c r="H13" i="8"/>
  <c r="H14" i="8"/>
  <c r="I5" i="8"/>
  <c r="I6" i="8"/>
  <c r="I7" i="8"/>
  <c r="I8" i="8"/>
  <c r="I9" i="8"/>
  <c r="I10" i="8"/>
  <c r="I11" i="8"/>
  <c r="I12" i="8"/>
  <c r="I13" i="8"/>
  <c r="I14" i="8"/>
  <c r="J5" i="8"/>
  <c r="J6" i="8"/>
  <c r="J7" i="8"/>
  <c r="J8" i="8"/>
  <c r="J9" i="8"/>
  <c r="J10" i="8"/>
  <c r="J11" i="8"/>
  <c r="J12" i="8"/>
  <c r="J13" i="8"/>
  <c r="J14" i="8"/>
  <c r="O5" i="8"/>
  <c r="O6" i="8"/>
  <c r="O7" i="8"/>
  <c r="O8" i="8"/>
  <c r="O9" i="8"/>
  <c r="O10" i="8"/>
  <c r="O11" i="8"/>
  <c r="O12" i="8"/>
  <c r="O13" i="8"/>
  <c r="O14" i="8"/>
  <c r="P5" i="8"/>
  <c r="P6" i="8"/>
  <c r="P7" i="8"/>
  <c r="P8" i="8"/>
  <c r="P9" i="8"/>
  <c r="P10" i="8"/>
  <c r="P11" i="8"/>
  <c r="P12" i="8"/>
  <c r="P13" i="8"/>
  <c r="P14" i="8"/>
  <c r="AE6" i="8"/>
  <c r="AE8" i="8"/>
  <c r="AE10" i="8"/>
  <c r="AE12" i="8"/>
  <c r="AE14" i="8"/>
  <c r="AE5" i="8"/>
  <c r="AE7" i="8"/>
  <c r="AE9" i="8"/>
  <c r="AE11" i="8"/>
  <c r="AE13" i="8"/>
  <c r="P5" i="2"/>
  <c r="P6" i="2"/>
  <c r="V6" i="2" s="1"/>
  <c r="P7" i="2"/>
  <c r="V7" i="2" s="1"/>
  <c r="P8" i="2"/>
  <c r="V8" i="2" s="1"/>
  <c r="P9" i="2"/>
  <c r="V9" i="2" s="1"/>
  <c r="P10" i="2"/>
  <c r="V10" i="2" s="1"/>
  <c r="P11" i="2"/>
  <c r="V11" i="2" s="1"/>
  <c r="P12" i="2"/>
  <c r="V12" i="2" s="1"/>
  <c r="P13" i="2"/>
  <c r="V13" i="2" s="1"/>
  <c r="P14" i="2"/>
  <c r="V14" i="2" s="1"/>
  <c r="H61" i="2"/>
  <c r="G61" i="2"/>
  <c r="T3" i="8"/>
  <c r="I3" i="8"/>
  <c r="H3" i="8"/>
  <c r="I3" i="2"/>
  <c r="H3" i="2"/>
  <c r="G3" i="2"/>
  <c r="C48" i="9"/>
  <c r="C3" i="8"/>
  <c r="D3" i="8"/>
  <c r="B3" i="2"/>
  <c r="C3" i="2"/>
  <c r="C42" i="9"/>
  <c r="D61" i="8" l="1"/>
  <c r="AE61" i="8"/>
  <c r="I61" i="8"/>
  <c r="AJ61" i="8"/>
  <c r="O61" i="8"/>
  <c r="F61" i="8"/>
  <c r="AF61" i="8"/>
  <c r="H61" i="8"/>
  <c r="AK61" i="8"/>
  <c r="C61" i="8"/>
  <c r="AH61" i="8"/>
  <c r="AI61" i="8"/>
  <c r="E61" i="8"/>
  <c r="J61" i="8"/>
  <c r="P61" i="8"/>
  <c r="AG61" i="8"/>
  <c r="G61" i="8"/>
  <c r="AL61" i="8"/>
  <c r="AQ9" i="8"/>
  <c r="AR9" i="8"/>
  <c r="AR10" i="8"/>
  <c r="AR13" i="8"/>
  <c r="AR5" i="8"/>
  <c r="AR8" i="8"/>
  <c r="AQ12" i="8"/>
  <c r="AR12" i="8"/>
  <c r="AQ7" i="8"/>
  <c r="AR7" i="8"/>
  <c r="AR11" i="8"/>
  <c r="AR14" i="8"/>
  <c r="AR6" i="8"/>
  <c r="AQ13" i="8"/>
  <c r="AQ5" i="8"/>
  <c r="AQ8" i="8"/>
  <c r="AQ10" i="8"/>
  <c r="AQ11" i="8"/>
  <c r="AQ14" i="8"/>
  <c r="AQ6" i="8"/>
  <c r="U5" i="2"/>
  <c r="V5" i="2"/>
  <c r="Q12" i="8"/>
  <c r="Q8" i="8"/>
  <c r="Q9" i="8"/>
  <c r="Q11" i="8"/>
  <c r="Q7" i="8"/>
  <c r="Q13" i="8"/>
  <c r="Q5" i="8"/>
  <c r="Q14" i="8"/>
  <c r="Q10" i="8"/>
  <c r="Q6" i="8"/>
  <c r="BG9" i="8"/>
  <c r="BG13" i="8"/>
  <c r="BG11" i="8"/>
  <c r="BG7" i="8"/>
  <c r="C41" i="9"/>
  <c r="C50" i="9"/>
  <c r="C36" i="9"/>
  <c r="C67" i="9"/>
  <c r="C66" i="9"/>
  <c r="B16" i="9"/>
  <c r="B51" i="9"/>
  <c r="C37" i="9"/>
  <c r="C29" i="9"/>
  <c r="A4" i="9"/>
  <c r="C25" i="9"/>
  <c r="B20" i="9"/>
  <c r="C19" i="9"/>
  <c r="C39" i="9"/>
  <c r="B44" i="3"/>
  <c r="AU42" i="8" l="1"/>
  <c r="BF42" i="8" s="1"/>
  <c r="BG42" i="8" s="1"/>
  <c r="AU40" i="8"/>
  <c r="BF40" i="8" s="1"/>
  <c r="BG40" i="8" s="1"/>
  <c r="AU41" i="8"/>
  <c r="BF41" i="8" s="1"/>
  <c r="BG41" i="8" s="1"/>
  <c r="AU44" i="8"/>
  <c r="BF44" i="8" s="1"/>
  <c r="BG44" i="8" s="1"/>
  <c r="AU21" i="8"/>
  <c r="BF21" i="8" s="1"/>
  <c r="BG21" i="8" s="1"/>
  <c r="AU48" i="8"/>
  <c r="BF48" i="8" s="1"/>
  <c r="BG48" i="8" s="1"/>
  <c r="AU23" i="8"/>
  <c r="BF23" i="8" s="1"/>
  <c r="BG23" i="8" s="1"/>
  <c r="AU49" i="8"/>
  <c r="BF49" i="8" s="1"/>
  <c r="BG49" i="8" s="1"/>
  <c r="AU50" i="8"/>
  <c r="BF50" i="8" s="1"/>
  <c r="BG50" i="8" s="1"/>
  <c r="AU38" i="8"/>
  <c r="BF38" i="8" s="1"/>
  <c r="BG38" i="8" s="1"/>
  <c r="AU52" i="8"/>
  <c r="BF52" i="8" s="1"/>
  <c r="BG52" i="8" s="1"/>
  <c r="AU30" i="8"/>
  <c r="BF30" i="8" s="1"/>
  <c r="BG30" i="8" s="1"/>
  <c r="AU59" i="8"/>
  <c r="BF59" i="8" s="1"/>
  <c r="BG59" i="8" s="1"/>
  <c r="AU34" i="8"/>
  <c r="BF34" i="8" s="1"/>
  <c r="BG34" i="8" s="1"/>
  <c r="AU35" i="8"/>
  <c r="BF35" i="8" s="1"/>
  <c r="BG35" i="8" s="1"/>
  <c r="AU37" i="8"/>
  <c r="BF37" i="8" s="1"/>
  <c r="BG37" i="8" s="1"/>
  <c r="AU60" i="8"/>
  <c r="BF60" i="8" s="1"/>
  <c r="BG60" i="8" s="1"/>
  <c r="AU58" i="8"/>
  <c r="BF58" i="8" s="1"/>
  <c r="BG58" i="8" s="1"/>
  <c r="AU36" i="8"/>
  <c r="Q61" i="8"/>
  <c r="AQ61" i="8"/>
  <c r="AR61" i="8"/>
  <c r="BG5" i="8"/>
  <c r="BF36" i="8" l="1"/>
  <c r="AU61" i="8"/>
  <c r="C44" i="9"/>
  <c r="B14" i="3"/>
  <c r="A1" i="9"/>
  <c r="B40" i="9"/>
  <c r="B35" i="9"/>
  <c r="B24" i="3"/>
  <c r="BG36" i="8" l="1"/>
  <c r="BF61" i="8"/>
  <c r="B7" i="9"/>
  <c r="BO1" i="8" l="1"/>
  <c r="A1" i="2"/>
  <c r="F61" i="2"/>
  <c r="I61" i="2"/>
  <c r="W3" i="2"/>
  <c r="T3" i="2"/>
  <c r="S3" i="2"/>
  <c r="R3" i="2"/>
  <c r="Q3" i="2"/>
  <c r="BA3" i="8"/>
  <c r="AX3" i="8"/>
  <c r="AW3" i="8"/>
  <c r="AV3" i="8"/>
  <c r="AU3" i="8"/>
  <c r="AL3" i="8"/>
  <c r="AI3" i="8"/>
  <c r="AH3" i="8"/>
  <c r="AG3" i="8"/>
  <c r="AE3" i="8"/>
  <c r="AF3" i="8"/>
  <c r="Z3" i="8"/>
  <c r="W3" i="8"/>
  <c r="V3" i="8"/>
  <c r="U3" i="8"/>
  <c r="S3" i="8"/>
  <c r="J3" i="8"/>
  <c r="G3" i="8"/>
  <c r="F3" i="8"/>
  <c r="E3" i="8"/>
  <c r="F3" i="2"/>
  <c r="E3" i="2"/>
  <c r="D3" i="2"/>
  <c r="D61" i="2" l="1"/>
  <c r="E61" i="2"/>
  <c r="A3" i="6" l="1"/>
  <c r="A4" i="6"/>
  <c r="A5" i="6"/>
  <c r="A6" i="6"/>
  <c r="A7" i="6"/>
  <c r="A8" i="6"/>
  <c r="A9" i="6"/>
  <c r="A10" i="6"/>
  <c r="A11" i="6"/>
  <c r="A12" i="6"/>
  <c r="A1" i="8"/>
  <c r="A1" i="6"/>
  <c r="B61" i="2" l="1"/>
  <c r="C61" i="2"/>
  <c r="N61" i="2"/>
  <c r="O61" i="2"/>
  <c r="A61" i="2"/>
  <c r="Q37" i="2" l="1"/>
  <c r="Q38" i="2"/>
  <c r="Q47" i="2"/>
  <c r="Q39" i="2"/>
  <c r="Q40" i="2"/>
  <c r="Q48" i="2"/>
  <c r="Q49" i="2"/>
  <c r="Q56" i="2"/>
  <c r="Q44" i="2"/>
  <c r="Q55" i="2"/>
  <c r="Q59" i="2"/>
  <c r="X59" i="2" s="1"/>
  <c r="AB59" i="2" s="1"/>
  <c r="AT59" i="8" s="1"/>
  <c r="Q53" i="2"/>
  <c r="Q45" i="2"/>
  <c r="Q51" i="2"/>
  <c r="Q57" i="2"/>
  <c r="Q60" i="2"/>
  <c r="Q46" i="2"/>
  <c r="Q50" i="2"/>
  <c r="Q42" i="2"/>
  <c r="Q54" i="2"/>
  <c r="Q52" i="2"/>
  <c r="Q43" i="2"/>
  <c r="X43" i="2" s="1"/>
  <c r="AB43" i="2" s="1"/>
  <c r="AT43" i="8" s="1"/>
  <c r="Q41" i="2"/>
  <c r="Q58" i="2"/>
  <c r="Q17" i="2"/>
  <c r="Q18" i="2"/>
  <c r="X18" i="2" s="1"/>
  <c r="AB18" i="2" s="1"/>
  <c r="AT18" i="8" s="1"/>
  <c r="Q33" i="2"/>
  <c r="X33" i="2" s="1"/>
  <c r="AB33" i="2" s="1"/>
  <c r="AT33" i="8" s="1"/>
  <c r="Q32" i="2"/>
  <c r="X32" i="2" s="1"/>
  <c r="AB32" i="2" s="1"/>
  <c r="AT32" i="8" s="1"/>
  <c r="Q25" i="2"/>
  <c r="X25" i="2" s="1"/>
  <c r="AB25" i="2" s="1"/>
  <c r="AT25" i="8" s="1"/>
  <c r="Q21" i="2"/>
  <c r="X21" i="2" s="1"/>
  <c r="AB21" i="2" s="1"/>
  <c r="AT21" i="8" s="1"/>
  <c r="Q28" i="2"/>
  <c r="X28" i="2" s="1"/>
  <c r="AB28" i="2" s="1"/>
  <c r="AT28" i="8" s="1"/>
  <c r="Q24" i="2"/>
  <c r="X24" i="2" s="1"/>
  <c r="AB24" i="2" s="1"/>
  <c r="AT24" i="8" s="1"/>
  <c r="Q20" i="2"/>
  <c r="X20" i="2" s="1"/>
  <c r="AB20" i="2" s="1"/>
  <c r="AT20" i="8" s="1"/>
  <c r="Q34" i="2"/>
  <c r="X34" i="2" s="1"/>
  <c r="AB34" i="2" s="1"/>
  <c r="AT34" i="8" s="1"/>
  <c r="Q15" i="2"/>
  <c r="X15" i="2" s="1"/>
  <c r="AB15" i="2" s="1"/>
  <c r="AT15" i="8" s="1"/>
  <c r="Q16" i="2"/>
  <c r="X16" i="2" s="1"/>
  <c r="AB16" i="2" s="1"/>
  <c r="AT16" i="8" s="1"/>
  <c r="Q27" i="2"/>
  <c r="X27" i="2" s="1"/>
  <c r="AB27" i="2" s="1"/>
  <c r="AT27" i="8" s="1"/>
  <c r="Q29" i="2"/>
  <c r="X29" i="2" s="1"/>
  <c r="AB29" i="2" s="1"/>
  <c r="AT29" i="8" s="1"/>
  <c r="Q35" i="2"/>
  <c r="X35" i="2" s="1"/>
  <c r="AB35" i="2" s="1"/>
  <c r="AT35" i="8" s="1"/>
  <c r="Q30" i="2"/>
  <c r="X30" i="2" s="1"/>
  <c r="AB30" i="2" s="1"/>
  <c r="AT30" i="8" s="1"/>
  <c r="Q31" i="2"/>
  <c r="X31" i="2" s="1"/>
  <c r="AB31" i="2" s="1"/>
  <c r="AT31" i="8" s="1"/>
  <c r="Q23" i="2"/>
  <c r="X23" i="2" s="1"/>
  <c r="AB23" i="2" s="1"/>
  <c r="AT23" i="8" s="1"/>
  <c r="Q19" i="2"/>
  <c r="X19" i="2" s="1"/>
  <c r="AB19" i="2" s="1"/>
  <c r="AT19" i="8" s="1"/>
  <c r="Q26" i="2"/>
  <c r="X26" i="2" s="1"/>
  <c r="AB26" i="2" s="1"/>
  <c r="AT26" i="8" s="1"/>
  <c r="Q36" i="2"/>
  <c r="X36" i="2" s="1"/>
  <c r="AB36" i="2" s="1"/>
  <c r="AT36" i="8" s="1"/>
  <c r="Q22" i="2"/>
  <c r="X22" i="2" s="1"/>
  <c r="AB22" i="2" s="1"/>
  <c r="AT22" i="8" s="1"/>
  <c r="U10" i="2"/>
  <c r="U7" i="2"/>
  <c r="U14" i="2"/>
  <c r="U6" i="2"/>
  <c r="U13" i="2"/>
  <c r="U12" i="2"/>
  <c r="U11" i="2"/>
  <c r="U9" i="2"/>
  <c r="T10" i="2"/>
  <c r="AA10" i="2" s="1"/>
  <c r="T7" i="2"/>
  <c r="AA7" i="2" s="1"/>
  <c r="T6" i="2"/>
  <c r="AA6" i="2" s="1"/>
  <c r="T14" i="2"/>
  <c r="AA14" i="2" s="1"/>
  <c r="W5" i="2"/>
  <c r="W7" i="2"/>
  <c r="W12" i="2"/>
  <c r="W13" i="2"/>
  <c r="W6" i="2"/>
  <c r="W14" i="2"/>
  <c r="T12" i="2"/>
  <c r="AA12" i="2" s="1"/>
  <c r="T13" i="2"/>
  <c r="AA13" i="2" s="1"/>
  <c r="T5" i="2"/>
  <c r="AA5" i="2" s="1"/>
  <c r="W11" i="2"/>
  <c r="T11" i="2"/>
  <c r="AA11" i="2" s="1"/>
  <c r="W10" i="2"/>
  <c r="S5" i="2"/>
  <c r="Z5" i="2" s="1"/>
  <c r="R7" i="2"/>
  <c r="Y7" i="2" s="1"/>
  <c r="R12" i="2"/>
  <c r="Y12" i="2" s="1"/>
  <c r="R13" i="2"/>
  <c r="Y13" i="2" s="1"/>
  <c r="R6" i="2"/>
  <c r="Y6" i="2" s="1"/>
  <c r="R14" i="2"/>
  <c r="Y14" i="2" s="1"/>
  <c r="R5" i="2"/>
  <c r="Y5" i="2" s="1"/>
  <c r="S7" i="2"/>
  <c r="Z7" i="2" s="1"/>
  <c r="S12" i="2"/>
  <c r="Z12" i="2" s="1"/>
  <c r="S13" i="2"/>
  <c r="Z13" i="2" s="1"/>
  <c r="S6" i="2"/>
  <c r="Z6" i="2" s="1"/>
  <c r="S14" i="2"/>
  <c r="Z14" i="2" s="1"/>
  <c r="S11" i="2"/>
  <c r="Z11" i="2" s="1"/>
  <c r="R11" i="2"/>
  <c r="Y11" i="2" s="1"/>
  <c r="R10" i="2"/>
  <c r="Y10" i="2" s="1"/>
  <c r="S10" i="2"/>
  <c r="Z10" i="2" s="1"/>
  <c r="Q10" i="2"/>
  <c r="Q5" i="2"/>
  <c r="Q7" i="2"/>
  <c r="Q12" i="2"/>
  <c r="Q6" i="2"/>
  <c r="Q13" i="2"/>
  <c r="Q14" i="2"/>
  <c r="Q11" i="2"/>
  <c r="Q9" i="2"/>
  <c r="T9" i="2"/>
  <c r="AA9" i="2" s="1"/>
  <c r="W9" i="2"/>
  <c r="R9" i="2"/>
  <c r="Y9" i="2" s="1"/>
  <c r="S9" i="2"/>
  <c r="Z9" i="2" s="1"/>
  <c r="B61" i="8"/>
  <c r="X50" i="2" l="1"/>
  <c r="AB50" i="2" s="1"/>
  <c r="AT50" i="8" s="1"/>
  <c r="X53" i="2"/>
  <c r="AB53" i="2" s="1"/>
  <c r="AT53" i="8" s="1"/>
  <c r="X52" i="2"/>
  <c r="AB52" i="2" s="1"/>
  <c r="AT52" i="8" s="1"/>
  <c r="X55" i="2"/>
  <c r="AB55" i="2" s="1"/>
  <c r="AT55" i="8" s="1"/>
  <c r="X60" i="2"/>
  <c r="AB60" i="2" s="1"/>
  <c r="AT60" i="8" s="1"/>
  <c r="X46" i="2"/>
  <c r="AB46" i="2" s="1"/>
  <c r="AT46" i="8" s="1"/>
  <c r="X45" i="2"/>
  <c r="AB45" i="2" s="1"/>
  <c r="AT45" i="8" s="1"/>
  <c r="X49" i="2"/>
  <c r="AB49" i="2" s="1"/>
  <c r="AT49" i="8" s="1"/>
  <c r="X41" i="2"/>
  <c r="AB41" i="2" s="1"/>
  <c r="AT41" i="8" s="1"/>
  <c r="X54" i="2"/>
  <c r="AB54" i="2" s="1"/>
  <c r="AT54" i="8" s="1"/>
  <c r="X48" i="2"/>
  <c r="AB48" i="2" s="1"/>
  <c r="AT48" i="8" s="1"/>
  <c r="X51" i="2"/>
  <c r="AB51" i="2" s="1"/>
  <c r="AT51" i="8" s="1"/>
  <c r="X40" i="2"/>
  <c r="AB40" i="2" s="1"/>
  <c r="AT40" i="8" s="1"/>
  <c r="X42" i="2"/>
  <c r="AB42" i="2" s="1"/>
  <c r="AT42" i="8" s="1"/>
  <c r="X39" i="2"/>
  <c r="AB39" i="2" s="1"/>
  <c r="AT39" i="8" s="1"/>
  <c r="X57" i="2"/>
  <c r="AB57" i="2" s="1"/>
  <c r="AT57" i="8" s="1"/>
  <c r="X44" i="2"/>
  <c r="AB44" i="2" s="1"/>
  <c r="AT44" i="8" s="1"/>
  <c r="X47" i="2"/>
  <c r="AB47" i="2" s="1"/>
  <c r="AT47" i="8" s="1"/>
  <c r="X58" i="2"/>
  <c r="AB58" i="2" s="1"/>
  <c r="AT58" i="8" s="1"/>
  <c r="X56" i="2"/>
  <c r="AB56" i="2" s="1"/>
  <c r="AT56" i="8" s="1"/>
  <c r="X38" i="2"/>
  <c r="AB38" i="2" s="1"/>
  <c r="AT38" i="8" s="1"/>
  <c r="X17" i="2"/>
  <c r="AB17" i="2" s="1"/>
  <c r="AT17" i="8" s="1"/>
  <c r="X37" i="2"/>
  <c r="AB37" i="2" s="1"/>
  <c r="AT37" i="8" s="1"/>
  <c r="X12" i="2"/>
  <c r="AB12" i="2" s="1"/>
  <c r="X14" i="2"/>
  <c r="AB14" i="2" s="1"/>
  <c r="X7" i="2"/>
  <c r="AB7" i="2" s="1"/>
  <c r="AT7" i="8" s="1"/>
  <c r="X13" i="2"/>
  <c r="AB13" i="2" s="1"/>
  <c r="X11" i="2"/>
  <c r="AB11" i="2" s="1"/>
  <c r="AT11" i="8" s="1"/>
  <c r="X9" i="2"/>
  <c r="AB9" i="2" s="1"/>
  <c r="AT9" i="8" s="1"/>
  <c r="X6" i="2"/>
  <c r="AB6" i="2" s="1"/>
  <c r="AT6" i="8" s="1"/>
  <c r="X10" i="2"/>
  <c r="AB10" i="2" s="1"/>
  <c r="AT10" i="8" s="1"/>
  <c r="X5" i="2"/>
  <c r="AB5" i="2" s="1"/>
  <c r="AT5" i="8" s="1"/>
  <c r="V61" i="2"/>
  <c r="U8" i="2"/>
  <c r="U61" i="2" s="1"/>
  <c r="P61" i="2"/>
  <c r="Q8" i="2"/>
  <c r="T8" i="2"/>
  <c r="AA8" i="2" s="1"/>
  <c r="W8" i="2"/>
  <c r="W61" i="2" s="1"/>
  <c r="R8" i="2"/>
  <c r="Y8" i="2" s="1"/>
  <c r="S8" i="2"/>
  <c r="Z8" i="2" s="1"/>
  <c r="X8" i="2" l="1"/>
  <c r="AB8" i="2" s="1"/>
  <c r="AT8" i="8" s="1"/>
  <c r="Y61" i="2"/>
  <c r="T61" i="2"/>
  <c r="AA61" i="2"/>
  <c r="S61" i="2"/>
  <c r="Z61" i="2"/>
  <c r="Q61" i="2"/>
  <c r="B10" i="3"/>
  <c r="B23" i="3" s="1"/>
  <c r="X61" i="2" l="1"/>
  <c r="BG12" i="8"/>
  <c r="BG14" i="8"/>
  <c r="BG8" i="8"/>
  <c r="BG10" i="8"/>
  <c r="BG6" i="8" l="1"/>
  <c r="BG61" i="8" s="1"/>
  <c r="AT14" i="8"/>
  <c r="AT13" i="8"/>
  <c r="AT12" i="8" l="1"/>
  <c r="AT61" i="8" s="1"/>
  <c r="BH60" i="8" s="1"/>
  <c r="R61" i="2"/>
  <c r="BH36" i="8" l="1"/>
  <c r="BH38" i="8"/>
  <c r="BH42" i="8"/>
  <c r="BH23" i="8"/>
  <c r="BH37" i="8"/>
  <c r="BH15" i="8"/>
  <c r="BH40" i="8"/>
  <c r="BH18" i="8"/>
  <c r="BH47" i="8"/>
  <c r="BH43" i="8"/>
  <c r="BH20" i="8"/>
  <c r="BH39" i="8"/>
  <c r="BH16" i="8"/>
  <c r="BH17" i="8"/>
  <c r="BH41" i="8"/>
  <c r="BH22" i="8"/>
  <c r="BH45" i="8"/>
  <c r="BH46" i="8"/>
  <c r="BH19" i="8"/>
  <c r="BH44" i="8"/>
  <c r="BH21" i="8"/>
  <c r="BH52" i="8"/>
  <c r="BH24" i="8"/>
  <c r="BH48" i="8"/>
  <c r="BH49" i="8"/>
  <c r="BH25" i="8"/>
  <c r="BH28" i="8"/>
  <c r="BH26" i="8"/>
  <c r="BH50" i="8"/>
  <c r="BH27" i="8"/>
  <c r="BH51" i="8"/>
  <c r="BH53" i="8"/>
  <c r="BH29" i="8"/>
  <c r="BH30" i="8"/>
  <c r="BH54" i="8"/>
  <c r="BH32" i="8"/>
  <c r="BH31" i="8"/>
  <c r="BH55" i="8"/>
  <c r="BH56" i="8"/>
  <c r="BH34" i="8"/>
  <c r="BH58" i="8"/>
  <c r="BH33" i="8"/>
  <c r="BH57" i="8"/>
  <c r="BH35" i="8"/>
  <c r="BH59" i="8"/>
  <c r="AB61" i="2"/>
  <c r="AC29" i="2" l="1"/>
  <c r="AC33" i="2"/>
  <c r="AC26" i="2"/>
  <c r="AC23" i="2"/>
  <c r="AC32" i="2"/>
  <c r="AC22" i="2"/>
  <c r="AC30" i="2"/>
  <c r="AC28" i="2"/>
  <c r="AC34" i="2"/>
  <c r="AC21" i="2"/>
  <c r="AC31" i="2"/>
  <c r="AC35" i="2"/>
  <c r="AC15" i="2"/>
  <c r="AC27" i="2"/>
  <c r="AC36" i="2"/>
  <c r="AC16" i="2"/>
  <c r="AC43" i="2"/>
  <c r="AC59" i="2"/>
  <c r="AC25" i="2"/>
  <c r="AC18" i="2"/>
  <c r="AC19" i="2"/>
  <c r="AC20" i="2"/>
  <c r="AC24" i="2"/>
  <c r="AC48" i="2"/>
  <c r="AC49" i="2"/>
  <c r="AC37" i="2"/>
  <c r="AC17" i="2"/>
  <c r="AC58" i="2"/>
  <c r="AC47" i="2"/>
  <c r="AC46" i="2"/>
  <c r="AC45" i="2"/>
  <c r="AC52" i="2"/>
  <c r="AC57" i="2"/>
  <c r="AC40" i="2"/>
  <c r="AC60" i="2"/>
  <c r="AC42" i="2"/>
  <c r="AC55" i="2"/>
  <c r="AC38" i="2"/>
  <c r="AC53" i="2"/>
  <c r="AC51" i="2"/>
  <c r="AC41" i="2"/>
  <c r="AC50" i="2"/>
  <c r="AC44" i="2"/>
  <c r="AC39" i="2"/>
  <c r="AC56" i="2"/>
  <c r="AC54" i="2"/>
  <c r="B13" i="3"/>
  <c r="B41" i="3" a="1"/>
  <c r="B41" i="3" s="1"/>
  <c r="AC10" i="2"/>
  <c r="AG10" i="2" s="1"/>
  <c r="AC9" i="2"/>
  <c r="AG9" i="2" s="1"/>
  <c r="AC14" i="2"/>
  <c r="AG14" i="2" s="1"/>
  <c r="AC6" i="2"/>
  <c r="AG6" i="2" s="1"/>
  <c r="AC5" i="2"/>
  <c r="AC13" i="2"/>
  <c r="AG13" i="2" s="1"/>
  <c r="AC7" i="2"/>
  <c r="AG7" i="2" s="1"/>
  <c r="AC11" i="2"/>
  <c r="AG11" i="2" s="1"/>
  <c r="AC8" i="2"/>
  <c r="AG8" i="2" s="1"/>
  <c r="AC12" i="2"/>
  <c r="AG12" i="2" s="1"/>
  <c r="AG5" i="2" l="1"/>
  <c r="AD36" i="2"/>
  <c r="AH36" i="2" s="1"/>
  <c r="AG24" i="2"/>
  <c r="AG18" i="2"/>
  <c r="AG43" i="2"/>
  <c r="AG38" i="2"/>
  <c r="AG21" i="2"/>
  <c r="AG32" i="2"/>
  <c r="AG20" i="2"/>
  <c r="AG39" i="2"/>
  <c r="AG50" i="2"/>
  <c r="AG16" i="2"/>
  <c r="AG35" i="2"/>
  <c r="AG23" i="2"/>
  <c r="AG56" i="2"/>
  <c r="AG25" i="2"/>
  <c r="AG41" i="2"/>
  <c r="AG51" i="2"/>
  <c r="AG27" i="2"/>
  <c r="AG42" i="2"/>
  <c r="AG31" i="2"/>
  <c r="AG57" i="2"/>
  <c r="AG52" i="2"/>
  <c r="AG26" i="2"/>
  <c r="AG48" i="2"/>
  <c r="AG19" i="2"/>
  <c r="AG59" i="2"/>
  <c r="AG53" i="2"/>
  <c r="AG55" i="2"/>
  <c r="AG28" i="2"/>
  <c r="AG45" i="2"/>
  <c r="AG46" i="2"/>
  <c r="AG22" i="2"/>
  <c r="AG33" i="2"/>
  <c r="AG54" i="2"/>
  <c r="AG44" i="2"/>
  <c r="AG36" i="2"/>
  <c r="AG15" i="2"/>
  <c r="AG60" i="2"/>
  <c r="AG40" i="2"/>
  <c r="AG34" i="2"/>
  <c r="AG30" i="2"/>
  <c r="AG47" i="2"/>
  <c r="AG58" i="2"/>
  <c r="AG17" i="2"/>
  <c r="AG37" i="2"/>
  <c r="AG49" i="2"/>
  <c r="AG29" i="2"/>
  <c r="AD53" i="2"/>
  <c r="AH53" i="2" s="1"/>
  <c r="AD40" i="2"/>
  <c r="AH40" i="2" s="1"/>
  <c r="AD52" i="2"/>
  <c r="AH52" i="2" s="1"/>
  <c r="AD54" i="2"/>
  <c r="AH54" i="2" s="1"/>
  <c r="AD58" i="2"/>
  <c r="AH58" i="2" s="1"/>
  <c r="AD37" i="2"/>
  <c r="AH37" i="2" s="1"/>
  <c r="AD38" i="2"/>
  <c r="AH38" i="2" s="1"/>
  <c r="AD39" i="2"/>
  <c r="AH39" i="2" s="1"/>
  <c r="AD42" i="2"/>
  <c r="AH42" i="2" s="1"/>
  <c r="AD43" i="2"/>
  <c r="AH43" i="2" s="1"/>
  <c r="AD44" i="2"/>
  <c r="AH44" i="2" s="1"/>
  <c r="AD45" i="2"/>
  <c r="AH45" i="2" s="1"/>
  <c r="AD49" i="2"/>
  <c r="AH49" i="2" s="1"/>
  <c r="AD50" i="2"/>
  <c r="AH50" i="2" s="1"/>
  <c r="AD51" i="2"/>
  <c r="AH51" i="2" s="1"/>
  <c r="AD55" i="2"/>
  <c r="AH55" i="2" s="1"/>
  <c r="AD56" i="2"/>
  <c r="AH56" i="2" s="1"/>
  <c r="AD57" i="2"/>
  <c r="AH57" i="2" s="1"/>
  <c r="AD59" i="2"/>
  <c r="AH59" i="2" s="1"/>
  <c r="AD60" i="2"/>
  <c r="AH60" i="2" s="1"/>
  <c r="AD41" i="2"/>
  <c r="AH41" i="2" s="1"/>
  <c r="AD46" i="2"/>
  <c r="AH46" i="2" s="1"/>
  <c r="AD47" i="2"/>
  <c r="AH47" i="2" s="1"/>
  <c r="AD48" i="2"/>
  <c r="AH48" i="2" s="1"/>
  <c r="AD13" i="2"/>
  <c r="AD21" i="2"/>
  <c r="AH21" i="2" s="1"/>
  <c r="AD29" i="2"/>
  <c r="AH29" i="2" s="1"/>
  <c r="AD14" i="2"/>
  <c r="AD18" i="2"/>
  <c r="AH18" i="2" s="1"/>
  <c r="AD22" i="2"/>
  <c r="AH22" i="2" s="1"/>
  <c r="AD26" i="2"/>
  <c r="AH26" i="2" s="1"/>
  <c r="AD30" i="2"/>
  <c r="AH30" i="2" s="1"/>
  <c r="AD34" i="2"/>
  <c r="AH34" i="2" s="1"/>
  <c r="AD24" i="2"/>
  <c r="AH24" i="2" s="1"/>
  <c r="AF24" i="2" s="1"/>
  <c r="AE24" i="2" s="1" a="1"/>
  <c r="AE24" i="2" s="1"/>
  <c r="AD15" i="2"/>
  <c r="AH15" i="2" s="1"/>
  <c r="AD19" i="2"/>
  <c r="AH19" i="2" s="1"/>
  <c r="AD23" i="2"/>
  <c r="AH23" i="2" s="1"/>
  <c r="AD27" i="2"/>
  <c r="AH27" i="2" s="1"/>
  <c r="AD31" i="2"/>
  <c r="AH31" i="2" s="1"/>
  <c r="AD35" i="2"/>
  <c r="AH35" i="2" s="1"/>
  <c r="AD16" i="2"/>
  <c r="AH16" i="2" s="1"/>
  <c r="AD20" i="2"/>
  <c r="AH20" i="2" s="1"/>
  <c r="AD28" i="2"/>
  <c r="AH28" i="2" s="1"/>
  <c r="AD32" i="2"/>
  <c r="AH32" i="2" s="1"/>
  <c r="AF32" i="2" s="1"/>
  <c r="AE32" i="2" s="1" a="1"/>
  <c r="AE32" i="2" s="1"/>
  <c r="AD17" i="2"/>
  <c r="AH17" i="2" s="1"/>
  <c r="AF17" i="2" s="1"/>
  <c r="AE17" i="2" s="1" a="1"/>
  <c r="AE17" i="2" s="1"/>
  <c r="AD25" i="2"/>
  <c r="AH25" i="2" s="1"/>
  <c r="AD33" i="2"/>
  <c r="AH33" i="2" s="1"/>
  <c r="BH5" i="8"/>
  <c r="BH9" i="8"/>
  <c r="BH13" i="8"/>
  <c r="BH7" i="8"/>
  <c r="BH11" i="8"/>
  <c r="BH8" i="8"/>
  <c r="BH14" i="8"/>
  <c r="BH6" i="8"/>
  <c r="BH10" i="8"/>
  <c r="BH12" i="8"/>
  <c r="AD7" i="2"/>
  <c r="AD9" i="2"/>
  <c r="AH9" i="2" s="1"/>
  <c r="AD6" i="2"/>
  <c r="AD12" i="2"/>
  <c r="AD5" i="2"/>
  <c r="AH5" i="2" s="1"/>
  <c r="AD11" i="2"/>
  <c r="AD10" i="2"/>
  <c r="AC61" i="2"/>
  <c r="AD8" i="2"/>
  <c r="AF60" i="2" l="1"/>
  <c r="AE60" i="2" s="1" a="1"/>
  <c r="AE60" i="2" s="1"/>
  <c r="AF55" i="2"/>
  <c r="AE55" i="2" s="1" a="1"/>
  <c r="AE55" i="2" s="1"/>
  <c r="AF20" i="2"/>
  <c r="AE20" i="2" s="1" a="1"/>
  <c r="AE20" i="2" s="1"/>
  <c r="AF56" i="2"/>
  <c r="AE56" i="2" s="1" a="1"/>
  <c r="AE56" i="2" s="1"/>
  <c r="AF53" i="2"/>
  <c r="AE53" i="2" s="1" a="1"/>
  <c r="AE53" i="2" s="1"/>
  <c r="AF40" i="2"/>
  <c r="AE40" i="2" s="1" a="1"/>
  <c r="AE40" i="2" s="1"/>
  <c r="AF59" i="2"/>
  <c r="AE59" i="2" s="1" a="1"/>
  <c r="AE59" i="2" s="1"/>
  <c r="AF28" i="2"/>
  <c r="AE28" i="2" s="1" a="1"/>
  <c r="AE28" i="2" s="1"/>
  <c r="AF25" i="2"/>
  <c r="AE25" i="2" s="1" a="1"/>
  <c r="AE25" i="2" s="1"/>
  <c r="AF18" i="2"/>
  <c r="AE18" i="2" s="1" a="1"/>
  <c r="AE18" i="2" s="1"/>
  <c r="AF43" i="2"/>
  <c r="AE43" i="2" s="1" a="1"/>
  <c r="AE43" i="2" s="1"/>
  <c r="AF36" i="2"/>
  <c r="AE36" i="2" s="1" a="1"/>
  <c r="AE36" i="2" s="1"/>
  <c r="AF33" i="2"/>
  <c r="AE33" i="2" s="1" a="1"/>
  <c r="AE33" i="2" s="1"/>
  <c r="AF47" i="2"/>
  <c r="AE47" i="2" s="1" a="1"/>
  <c r="AE47" i="2" s="1"/>
  <c r="AF46" i="2"/>
  <c r="AE46" i="2" s="1" a="1"/>
  <c r="AE46" i="2" s="1"/>
  <c r="AF41" i="2"/>
  <c r="AE41" i="2" s="1" a="1"/>
  <c r="AE41" i="2" s="1"/>
  <c r="AF27" i="2"/>
  <c r="AE27" i="2" s="1" a="1"/>
  <c r="AE27" i="2" s="1"/>
  <c r="AF51" i="2"/>
  <c r="AE51" i="2" s="1" a="1"/>
  <c r="AE51" i="2" s="1"/>
  <c r="AF34" i="2"/>
  <c r="AE34" i="2" s="1" a="1"/>
  <c r="AE34" i="2" s="1"/>
  <c r="AF29" i="2"/>
  <c r="AE29" i="2" s="1" a="1"/>
  <c r="AE29" i="2" s="1"/>
  <c r="AF54" i="2"/>
  <c r="AE54" i="2" s="1" a="1"/>
  <c r="AE54" i="2" s="1"/>
  <c r="AF21" i="2"/>
  <c r="AE21" i="2" s="1" a="1"/>
  <c r="AE21" i="2" s="1"/>
  <c r="AF52" i="2"/>
  <c r="AE52" i="2" s="1" a="1"/>
  <c r="AE52" i="2" s="1"/>
  <c r="AF16" i="2"/>
  <c r="AE16" i="2" s="1" a="1"/>
  <c r="AE16" i="2" s="1"/>
  <c r="AF31" i="2"/>
  <c r="AE31" i="2" s="1" a="1"/>
  <c r="AE31" i="2" s="1"/>
  <c r="AF35" i="2"/>
  <c r="AE35" i="2" s="1" a="1"/>
  <c r="AE35" i="2" s="1"/>
  <c r="AF15" i="2"/>
  <c r="AE15" i="2" s="1" a="1"/>
  <c r="AE15" i="2" s="1"/>
  <c r="AF44" i="2"/>
  <c r="AE44" i="2" s="1" a="1"/>
  <c r="AE44" i="2" s="1"/>
  <c r="AF50" i="2"/>
  <c r="AE50" i="2" s="1" a="1"/>
  <c r="AE50" i="2" s="1"/>
  <c r="AF48" i="2"/>
  <c r="AE48" i="2" s="1" a="1"/>
  <c r="AE48" i="2" s="1"/>
  <c r="AF57" i="2"/>
  <c r="AE57" i="2" s="1" a="1"/>
  <c r="AE57" i="2" s="1"/>
  <c r="AF23" i="2"/>
  <c r="AE23" i="2" s="1" a="1"/>
  <c r="AE23" i="2" s="1"/>
  <c r="AF42" i="2"/>
  <c r="AE42" i="2" s="1" a="1"/>
  <c r="AE42" i="2" s="1"/>
  <c r="AF49" i="2"/>
  <c r="AE49" i="2" s="1" a="1"/>
  <c r="AE49" i="2" s="1"/>
  <c r="AF39" i="2"/>
  <c r="AE39" i="2" s="1" a="1"/>
  <c r="AE39" i="2" s="1"/>
  <c r="AF45" i="2"/>
  <c r="AE45" i="2" s="1" a="1"/>
  <c r="AE45" i="2" s="1"/>
  <c r="AF38" i="2"/>
  <c r="AE38" i="2" s="1" a="1"/>
  <c r="AE38" i="2" s="1"/>
  <c r="AF30" i="2"/>
  <c r="AE30" i="2" s="1" a="1"/>
  <c r="AE30" i="2" s="1"/>
  <c r="AF26" i="2"/>
  <c r="AE26" i="2" s="1" a="1"/>
  <c r="AE26" i="2" s="1"/>
  <c r="AF19" i="2"/>
  <c r="AE19" i="2" s="1" a="1"/>
  <c r="AE19" i="2" s="1"/>
  <c r="AF22" i="2"/>
  <c r="AE22" i="2" s="1" a="1"/>
  <c r="AE22" i="2" s="1"/>
  <c r="AF37" i="2"/>
  <c r="AE37" i="2" s="1" a="1"/>
  <c r="AE37" i="2" s="1"/>
  <c r="AF58" i="2"/>
  <c r="AE58" i="2" s="1" a="1"/>
  <c r="AE58" i="2" s="1"/>
  <c r="BH61" i="8"/>
  <c r="AH8" i="2"/>
  <c r="AF8" i="2" s="1"/>
  <c r="AE8" i="2" s="1" a="1"/>
  <c r="AE8" i="2" s="1"/>
  <c r="AH14" i="2"/>
  <c r="AF14" i="2" s="1"/>
  <c r="AE14" i="2" s="1" a="1"/>
  <c r="AE14" i="2" s="1"/>
  <c r="AH11" i="2"/>
  <c r="AF11" i="2" s="1"/>
  <c r="AE11" i="2" s="1" a="1"/>
  <c r="AE11" i="2" s="1"/>
  <c r="AH12" i="2"/>
  <c r="AF12" i="2" s="1"/>
  <c r="AE12" i="2" s="1" a="1"/>
  <c r="AE12" i="2" s="1"/>
  <c r="AH10" i="2"/>
  <c r="AF10" i="2" s="1"/>
  <c r="AE10" i="2" s="1" a="1"/>
  <c r="AE10" i="2" s="1"/>
  <c r="AH13" i="2"/>
  <c r="AF13" i="2" s="1"/>
  <c r="AE13" i="2" s="1" a="1"/>
  <c r="AE13" i="2" s="1"/>
  <c r="AH6" i="2"/>
  <c r="AF6" i="2" s="1"/>
  <c r="AE6" i="2" s="1" a="1"/>
  <c r="AE6" i="2" s="1"/>
  <c r="AH7" i="2"/>
  <c r="AF7" i="2" s="1"/>
  <c r="AE7" i="2" s="1" a="1"/>
  <c r="AE7" i="2" s="1"/>
  <c r="AF9" i="2"/>
  <c r="AE9" i="2" s="1" a="1"/>
  <c r="AE9" i="2" s="1"/>
  <c r="AG61" i="2"/>
  <c r="AD61" i="2"/>
  <c r="AF5" i="2" l="1"/>
  <c r="AH61" i="2"/>
  <c r="C31" i="6" l="1" a="1"/>
  <c r="C31" i="6" s="1"/>
  <c r="C32" i="6" a="1"/>
  <c r="C32" i="6" s="1"/>
  <c r="C29" i="6" a="1"/>
  <c r="C29" i="6" s="1"/>
  <c r="C30" i="6" a="1"/>
  <c r="C30" i="6" s="1"/>
  <c r="C27" i="6" a="1"/>
  <c r="C27" i="6" s="1"/>
  <c r="C28" i="6" a="1"/>
  <c r="C28" i="6" s="1"/>
  <c r="C25" i="6" a="1"/>
  <c r="C25" i="6" s="1"/>
  <c r="C26" i="6" a="1"/>
  <c r="C26" i="6" s="1"/>
  <c r="C23" i="6" a="1"/>
  <c r="C23" i="6" s="1"/>
  <c r="C24" i="6" a="1"/>
  <c r="C24" i="6" s="1"/>
  <c r="C21" i="6" a="1"/>
  <c r="C21" i="6" s="1"/>
  <c r="C22" i="6" a="1"/>
  <c r="C22" i="6" s="1"/>
  <c r="C19" i="6" a="1"/>
  <c r="C19" i="6" s="1"/>
  <c r="C20" i="6" a="1"/>
  <c r="C20" i="6" s="1"/>
  <c r="C17" i="6" a="1"/>
  <c r="C17" i="6" s="1"/>
  <c r="C18" i="6" a="1"/>
  <c r="C18" i="6" s="1"/>
  <c r="C15" i="6" a="1"/>
  <c r="C15" i="6" s="1"/>
  <c r="C16" i="6" a="1"/>
  <c r="C16" i="6" s="1"/>
  <c r="C13" i="6" a="1"/>
  <c r="C13" i="6" s="1"/>
  <c r="C14" i="6" a="1"/>
  <c r="C14" i="6" s="1"/>
  <c r="AE61" i="2"/>
  <c r="C6" i="6" a="1"/>
  <c r="C6" i="6" s="1"/>
  <c r="C10" i="6" a="1"/>
  <c r="C10" i="6" s="1"/>
  <c r="AF61" i="2"/>
  <c r="C12" i="6" a="1"/>
  <c r="C12" i="6" s="1"/>
  <c r="C3" i="6" a="1"/>
  <c r="C3" i="6" s="1"/>
  <c r="C7" i="6" a="1"/>
  <c r="C7" i="6" s="1"/>
  <c r="C4" i="6" a="1"/>
  <c r="C4" i="6" s="1"/>
  <c r="C8" i="6" a="1"/>
  <c r="C8" i="6" s="1"/>
  <c r="AE5" i="2" a="1"/>
  <c r="AE5" i="2" s="1"/>
  <c r="C11" i="6" a="1"/>
  <c r="C11" i="6" s="1"/>
  <c r="C5" i="6" a="1"/>
  <c r="C5" i="6" s="1"/>
  <c r="C9" i="6" a="1"/>
  <c r="C9" i="6" s="1"/>
  <c r="AI50" i="2" l="1"/>
  <c r="A50" i="8" s="1"/>
  <c r="AJ38" i="2"/>
  <c r="R38" i="8" s="1"/>
  <c r="AI51" i="2"/>
  <c r="A51" i="8" s="1"/>
  <c r="AJ39" i="2"/>
  <c r="R39" i="8" s="1"/>
  <c r="AI52" i="2"/>
  <c r="A52" i="8" s="1"/>
  <c r="AI53" i="2"/>
  <c r="A53" i="8" s="1"/>
  <c r="AI54" i="2"/>
  <c r="A54" i="8" s="1"/>
  <c r="AI37" i="2"/>
  <c r="A37" i="8" s="1"/>
  <c r="AJ49" i="2"/>
  <c r="R49" i="8" s="1"/>
  <c r="AI38" i="2"/>
  <c r="A38" i="8" s="1"/>
  <c r="AJ50" i="2"/>
  <c r="R50" i="8" s="1"/>
  <c r="AI39" i="2"/>
  <c r="A39" i="8" s="1"/>
  <c r="AJ51" i="2"/>
  <c r="R51" i="8" s="1"/>
  <c r="AI40" i="2"/>
  <c r="A40" i="8" s="1"/>
  <c r="AI41" i="2"/>
  <c r="A41" i="8" s="1"/>
  <c r="AI42" i="2"/>
  <c r="A42" i="8" s="1"/>
  <c r="AI43" i="2"/>
  <c r="A43" i="8" s="1"/>
  <c r="AI44" i="2"/>
  <c r="A44" i="8" s="1"/>
  <c r="AI45" i="2"/>
  <c r="A45" i="8" s="1"/>
  <c r="AI47" i="2"/>
  <c r="A47" i="8" s="1"/>
  <c r="AJ46" i="2"/>
  <c r="R46" i="8" s="1"/>
  <c r="AJ47" i="2"/>
  <c r="R47" i="8" s="1"/>
  <c r="AJ48" i="2"/>
  <c r="R48" i="8" s="1"/>
  <c r="AJ52" i="2"/>
  <c r="R52" i="8" s="1"/>
  <c r="AJ53" i="2"/>
  <c r="R53" i="8" s="1"/>
  <c r="AJ54" i="2"/>
  <c r="R54" i="8" s="1"/>
  <c r="AJ55" i="2"/>
  <c r="R55" i="8" s="1"/>
  <c r="AJ56" i="2"/>
  <c r="R56" i="8" s="1"/>
  <c r="AI46" i="2"/>
  <c r="A46" i="8" s="1"/>
  <c r="AJ57" i="2"/>
  <c r="R57" i="8" s="1"/>
  <c r="AI48" i="2"/>
  <c r="A48" i="8" s="1"/>
  <c r="AJ58" i="2"/>
  <c r="R58" i="8" s="1"/>
  <c r="AI49" i="2"/>
  <c r="A49" i="8" s="1"/>
  <c r="AJ59" i="2"/>
  <c r="R59" i="8" s="1"/>
  <c r="AI55" i="2"/>
  <c r="A55" i="8" s="1"/>
  <c r="AJ60" i="2"/>
  <c r="R60" i="8" s="1"/>
  <c r="AI56" i="2"/>
  <c r="A56" i="8" s="1"/>
  <c r="AI57" i="2"/>
  <c r="A57" i="8" s="1"/>
  <c r="AI58" i="2"/>
  <c r="A58" i="8" s="1"/>
  <c r="AI59" i="2"/>
  <c r="A59" i="8" s="1"/>
  <c r="AI60" i="2"/>
  <c r="A60" i="8" s="1"/>
  <c r="AJ37" i="2"/>
  <c r="R37" i="8" s="1"/>
  <c r="AJ40" i="2"/>
  <c r="R40" i="8" s="1"/>
  <c r="AJ41" i="2"/>
  <c r="R41" i="8" s="1"/>
  <c r="AJ42" i="2"/>
  <c r="R42" i="8" s="1"/>
  <c r="AJ43" i="2"/>
  <c r="R43" i="8" s="1"/>
  <c r="AJ44" i="2"/>
  <c r="R44" i="8" s="1"/>
  <c r="AJ45" i="2"/>
  <c r="R45" i="8" s="1"/>
  <c r="AI33" i="2"/>
  <c r="A33" i="8" s="1"/>
  <c r="AJ33" i="2"/>
  <c r="R33" i="8" s="1"/>
  <c r="AJ34" i="2"/>
  <c r="R34" i="8" s="1"/>
  <c r="AI35" i="2"/>
  <c r="A35" i="8" s="1"/>
  <c r="AJ35" i="2"/>
  <c r="R35" i="8" s="1"/>
  <c r="AI36" i="2"/>
  <c r="A36" i="8" s="1"/>
  <c r="AJ36" i="2"/>
  <c r="R36" i="8" s="1"/>
  <c r="AI34" i="2"/>
  <c r="A34" i="8" s="1"/>
  <c r="AI23" i="2"/>
  <c r="A23" i="8" s="1"/>
  <c r="AJ29" i="2"/>
  <c r="R29" i="8" s="1"/>
  <c r="AI20" i="2"/>
  <c r="A20" i="8" s="1"/>
  <c r="AI32" i="2"/>
  <c r="A32" i="8" s="1"/>
  <c r="AI17" i="2"/>
  <c r="A17" i="8" s="1"/>
  <c r="AI21" i="2"/>
  <c r="A21" i="8" s="1"/>
  <c r="AI25" i="2"/>
  <c r="A25" i="8" s="1"/>
  <c r="AI29" i="2"/>
  <c r="A29" i="8" s="1"/>
  <c r="AJ15" i="2"/>
  <c r="R15" i="8" s="1"/>
  <c r="AJ19" i="2"/>
  <c r="R19" i="8" s="1"/>
  <c r="AJ23" i="2"/>
  <c r="R23" i="8" s="1"/>
  <c r="AJ27" i="2"/>
  <c r="R27" i="8" s="1"/>
  <c r="AJ31" i="2"/>
  <c r="R31" i="8" s="1"/>
  <c r="AI15" i="2"/>
  <c r="A15" i="8" s="1"/>
  <c r="AI27" i="2"/>
  <c r="A27" i="8" s="1"/>
  <c r="AJ17" i="2"/>
  <c r="R17" i="8" s="1"/>
  <c r="AJ25" i="2"/>
  <c r="R25" i="8" s="1"/>
  <c r="AI16" i="2"/>
  <c r="A16" i="8" s="1"/>
  <c r="AI28" i="2"/>
  <c r="A28" i="8" s="1"/>
  <c r="AI18" i="2"/>
  <c r="A18" i="8" s="1"/>
  <c r="AI22" i="2"/>
  <c r="A22" i="8" s="1"/>
  <c r="AI26" i="2"/>
  <c r="A26" i="8" s="1"/>
  <c r="AI30" i="2"/>
  <c r="A30" i="8" s="1"/>
  <c r="AJ16" i="2"/>
  <c r="R16" i="8" s="1"/>
  <c r="AJ20" i="2"/>
  <c r="R20" i="8" s="1"/>
  <c r="AJ24" i="2"/>
  <c r="R24" i="8" s="1"/>
  <c r="AJ28" i="2"/>
  <c r="R28" i="8" s="1"/>
  <c r="AJ32" i="2"/>
  <c r="R32" i="8" s="1"/>
  <c r="AI19" i="2"/>
  <c r="A19" i="8" s="1"/>
  <c r="AI31" i="2"/>
  <c r="A31" i="8" s="1"/>
  <c r="AJ21" i="2"/>
  <c r="R21" i="8" s="1"/>
  <c r="AI24" i="2"/>
  <c r="A24" i="8" s="1"/>
  <c r="AJ18" i="2"/>
  <c r="R18" i="8" s="1"/>
  <c r="AJ22" i="2"/>
  <c r="R22" i="8" s="1"/>
  <c r="AJ26" i="2"/>
  <c r="R26" i="8" s="1"/>
  <c r="AJ30" i="2"/>
  <c r="R30" i="8" s="1"/>
  <c r="AI14" i="2"/>
  <c r="A14" i="8" s="1"/>
  <c r="AI12" i="2"/>
  <c r="A12" i="8" s="1"/>
  <c r="AI10" i="2"/>
  <c r="A10" i="8" s="1"/>
  <c r="AI8" i="2"/>
  <c r="A8" i="8" s="1"/>
  <c r="AI6" i="2"/>
  <c r="A6" i="8" s="1"/>
  <c r="AI13" i="2"/>
  <c r="A13" i="8" s="1"/>
  <c r="AI11" i="2"/>
  <c r="A11" i="8" s="1"/>
  <c r="AI9" i="2"/>
  <c r="A9" i="8" s="1"/>
  <c r="AI7" i="2"/>
  <c r="A7" i="8" s="1"/>
  <c r="AI5" i="2"/>
  <c r="A5" i="8" s="1"/>
  <c r="AJ12" i="2"/>
  <c r="R12" i="8" s="1"/>
  <c r="AJ5" i="2"/>
  <c r="R5" i="8" s="1"/>
  <c r="AJ13" i="2"/>
  <c r="R13" i="8" s="1"/>
  <c r="AJ8" i="2"/>
  <c r="R8" i="8" s="1"/>
  <c r="AJ7" i="2"/>
  <c r="R7" i="8" s="1"/>
  <c r="AJ11" i="2"/>
  <c r="R11" i="8" s="1"/>
  <c r="AJ9" i="2"/>
  <c r="R9" i="8" s="1"/>
  <c r="AJ6" i="2"/>
  <c r="R6" i="8" s="1"/>
  <c r="AJ10" i="2"/>
  <c r="R10" i="8" s="1"/>
  <c r="AJ14" i="2"/>
  <c r="R14" i="8" s="1"/>
  <c r="AS17" i="8" l="1"/>
  <c r="BI17" i="8"/>
  <c r="AS45" i="8"/>
  <c r="BI45" i="8"/>
  <c r="AS52" i="8"/>
  <c r="BI52" i="8"/>
  <c r="AS44" i="8"/>
  <c r="BI44" i="8"/>
  <c r="AS48" i="8"/>
  <c r="BI48" i="8"/>
  <c r="AS43" i="8"/>
  <c r="BI43" i="8"/>
  <c r="AS47" i="8"/>
  <c r="BI47" i="8"/>
  <c r="AS31" i="8"/>
  <c r="BI31" i="8"/>
  <c r="AS42" i="8"/>
  <c r="BI42" i="8"/>
  <c r="AS46" i="8"/>
  <c r="BI46" i="8"/>
  <c r="AS30" i="8"/>
  <c r="BI30" i="8"/>
  <c r="AS27" i="8"/>
  <c r="BI27" i="8"/>
  <c r="AS41" i="8"/>
  <c r="BI41" i="8"/>
  <c r="AS26" i="8"/>
  <c r="BI26" i="8"/>
  <c r="AS23" i="8"/>
  <c r="BI23" i="8"/>
  <c r="AS40" i="8"/>
  <c r="BI40" i="8"/>
  <c r="AS37" i="8"/>
  <c r="BI37" i="8"/>
  <c r="AS19" i="8"/>
  <c r="BI19" i="8"/>
  <c r="AS18" i="8"/>
  <c r="BI18" i="8"/>
  <c r="AS15" i="8"/>
  <c r="BI15" i="8"/>
  <c r="AS21" i="8"/>
  <c r="BI21" i="8"/>
  <c r="AS51" i="8"/>
  <c r="BI51" i="8"/>
  <c r="AS32" i="8"/>
  <c r="BI32" i="8"/>
  <c r="AS60" i="8"/>
  <c r="BI60" i="8"/>
  <c r="AS50" i="8"/>
  <c r="BI50" i="8"/>
  <c r="AS24" i="8"/>
  <c r="BI24" i="8"/>
  <c r="AS59" i="8"/>
  <c r="BI59" i="8"/>
  <c r="AS29" i="8"/>
  <c r="BI29" i="8"/>
  <c r="AS49" i="8"/>
  <c r="BI49" i="8"/>
  <c r="AS28" i="8"/>
  <c r="BI28" i="8"/>
  <c r="AS16" i="8"/>
  <c r="BI16" i="8"/>
  <c r="AS58" i="8"/>
  <c r="BI58" i="8"/>
  <c r="AS20" i="8"/>
  <c r="BI20" i="8"/>
  <c r="AS36" i="8"/>
  <c r="BI36" i="8"/>
  <c r="AS57" i="8"/>
  <c r="BI57" i="8"/>
  <c r="AS35" i="8"/>
  <c r="BI35" i="8"/>
  <c r="AS56" i="8"/>
  <c r="BI56" i="8"/>
  <c r="AS39" i="8"/>
  <c r="BI39" i="8"/>
  <c r="AS34" i="8"/>
  <c r="BI34" i="8"/>
  <c r="AS55" i="8"/>
  <c r="BI55" i="8"/>
  <c r="AS33" i="8"/>
  <c r="BI33" i="8"/>
  <c r="AS54" i="8"/>
  <c r="BI54" i="8"/>
  <c r="AS38" i="8"/>
  <c r="BI38" i="8"/>
  <c r="AS22" i="8"/>
  <c r="BI22" i="8"/>
  <c r="AS25" i="8"/>
  <c r="BI25" i="8"/>
  <c r="AS53" i="8"/>
  <c r="BI53" i="8"/>
  <c r="R61" i="8"/>
  <c r="AS5" i="8"/>
  <c r="BI5" i="8"/>
  <c r="AS7" i="8"/>
  <c r="BI7" i="8"/>
  <c r="AS11" i="8"/>
  <c r="BI11" i="8"/>
  <c r="AS9" i="8"/>
  <c r="BI9" i="8"/>
  <c r="AS13" i="8"/>
  <c r="BI13" i="8"/>
  <c r="BI10" i="8"/>
  <c r="AS10" i="8"/>
  <c r="BI12" i="8"/>
  <c r="AS12" i="8"/>
  <c r="BI14" i="8"/>
  <c r="AS14" i="8"/>
  <c r="BI8" i="8"/>
  <c r="AS8" i="8"/>
  <c r="AJ61" i="2"/>
  <c r="BI6" i="8" l="1"/>
  <c r="BI61" i="8" s="1"/>
  <c r="AS6" i="8"/>
  <c r="AS61" i="8" s="1"/>
  <c r="BJ60" i="8" l="1"/>
  <c r="BJ14" i="8"/>
  <c r="BL14" i="8" s="1"/>
  <c r="BJ59" i="8"/>
  <c r="BJ40" i="8"/>
  <c r="BJ37" i="8"/>
  <c r="BJ22" i="8"/>
  <c r="BJ25" i="8"/>
  <c r="BJ49" i="8"/>
  <c r="BJ17" i="8"/>
  <c r="BJ39" i="8"/>
  <c r="BJ15" i="8"/>
  <c r="BJ50" i="8"/>
  <c r="BJ36" i="8"/>
  <c r="BJ16" i="8"/>
  <c r="BJ58" i="8"/>
  <c r="BJ57" i="8"/>
  <c r="BJ33" i="8"/>
  <c r="BJ47" i="8"/>
  <c r="BJ56" i="8"/>
  <c r="BJ32" i="8"/>
  <c r="BJ55" i="8"/>
  <c r="BJ31" i="8"/>
  <c r="BJ54" i="8"/>
  <c r="BJ30" i="8"/>
  <c r="BJ42" i="8"/>
  <c r="BJ26" i="8"/>
  <c r="BJ41" i="8"/>
  <c r="BJ34" i="8"/>
  <c r="BJ52" i="8"/>
  <c r="BJ27" i="8"/>
  <c r="BJ38" i="8"/>
  <c r="BJ46" i="8"/>
  <c r="BJ45" i="8"/>
  <c r="BJ51" i="8"/>
  <c r="BJ24" i="8"/>
  <c r="BJ48" i="8"/>
  <c r="BJ21" i="8"/>
  <c r="BJ20" i="8"/>
  <c r="BJ43" i="8"/>
  <c r="BJ19" i="8"/>
  <c r="BJ29" i="8"/>
  <c r="BJ35" i="8"/>
  <c r="BJ53" i="8"/>
  <c r="BJ44" i="8"/>
  <c r="BJ28" i="8"/>
  <c r="BJ23" i="8"/>
  <c r="BJ18" i="8"/>
  <c r="BJ7" i="8"/>
  <c r="BJ11" i="8"/>
  <c r="BJ5" i="8"/>
  <c r="BJ9" i="8"/>
  <c r="BJ13" i="8"/>
  <c r="BJ12" i="8"/>
  <c r="BK12" i="8" s="1"/>
  <c r="BJ8" i="8"/>
  <c r="BL8" i="8" s="1"/>
  <c r="BJ10" i="8"/>
  <c r="BL10" i="8" s="1"/>
  <c r="BJ6" i="8"/>
  <c r="BL6" i="8" s="1"/>
  <c r="B18" i="3"/>
  <c r="B48" i="3" a="1"/>
  <c r="B48" i="3" s="1"/>
  <c r="A48" i="3" a="1"/>
  <c r="A48" i="3" s="1"/>
  <c r="BK60" i="8" l="1"/>
  <c r="BL60" i="8"/>
  <c r="BK53" i="8"/>
  <c r="BL53" i="8"/>
  <c r="BM53" i="8" s="1"/>
  <c r="BL57" i="8"/>
  <c r="BM57" i="8" s="1"/>
  <c r="BK57" i="8"/>
  <c r="BL26" i="8"/>
  <c r="BM26" i="8" s="1"/>
  <c r="BK26" i="8"/>
  <c r="BL18" i="8"/>
  <c r="BM18" i="8" s="1"/>
  <c r="BK18" i="8"/>
  <c r="BL28" i="8"/>
  <c r="BM28" i="8" s="1"/>
  <c r="BK28" i="8"/>
  <c r="BK43" i="8"/>
  <c r="BL43" i="8"/>
  <c r="BM43" i="8" s="1"/>
  <c r="BL41" i="8"/>
  <c r="BM41" i="8" s="1"/>
  <c r="BK41" i="8"/>
  <c r="BK30" i="8"/>
  <c r="BL30" i="8"/>
  <c r="BM30" i="8" s="1"/>
  <c r="BK31" i="8"/>
  <c r="BL31" i="8"/>
  <c r="BM31" i="8" s="1"/>
  <c r="BK32" i="8"/>
  <c r="BL32" i="8"/>
  <c r="BM32" i="8" s="1"/>
  <c r="BK47" i="8"/>
  <c r="BL47" i="8"/>
  <c r="BM47" i="8" s="1"/>
  <c r="BK14" i="8"/>
  <c r="BL16" i="8"/>
  <c r="BM16" i="8" s="1"/>
  <c r="BK16" i="8"/>
  <c r="BL36" i="8"/>
  <c r="BM36" i="8" s="1"/>
  <c r="BK36" i="8"/>
  <c r="BL15" i="8"/>
  <c r="BM15" i="8" s="1"/>
  <c r="BK15" i="8"/>
  <c r="BL42" i="8"/>
  <c r="BM42" i="8" s="1"/>
  <c r="BK42" i="8"/>
  <c r="BK23" i="8"/>
  <c r="BL23" i="8"/>
  <c r="BM23" i="8" s="1"/>
  <c r="BK55" i="8"/>
  <c r="BL55" i="8"/>
  <c r="BM55" i="8" s="1"/>
  <c r="BL35" i="8"/>
  <c r="BM35" i="8" s="1"/>
  <c r="BK35" i="8"/>
  <c r="BK29" i="8"/>
  <c r="BL29" i="8"/>
  <c r="BM29" i="8" s="1"/>
  <c r="BK19" i="8"/>
  <c r="BL19" i="8"/>
  <c r="BM19" i="8" s="1"/>
  <c r="BL20" i="8"/>
  <c r="BM20" i="8" s="1"/>
  <c r="BK20" i="8"/>
  <c r="BK21" i="8"/>
  <c r="BL21" i="8"/>
  <c r="BM21" i="8" s="1"/>
  <c r="BL39" i="8"/>
  <c r="BM39" i="8" s="1"/>
  <c r="BK39" i="8"/>
  <c r="BL24" i="8"/>
  <c r="BM24" i="8" s="1"/>
  <c r="BK24" i="8"/>
  <c r="BK51" i="8"/>
  <c r="BL51" i="8"/>
  <c r="BM51" i="8" s="1"/>
  <c r="BK54" i="8"/>
  <c r="BL54" i="8"/>
  <c r="BM54" i="8" s="1"/>
  <c r="BL44" i="8"/>
  <c r="BM44" i="8" s="1"/>
  <c r="BK44" i="8"/>
  <c r="BK56" i="8"/>
  <c r="BL56" i="8"/>
  <c r="BM56" i="8" s="1"/>
  <c r="BL33" i="8"/>
  <c r="BM33" i="8" s="1"/>
  <c r="BK33" i="8"/>
  <c r="BL58" i="8"/>
  <c r="BM58" i="8" s="1"/>
  <c r="BK58" i="8"/>
  <c r="BL48" i="8"/>
  <c r="BM48" i="8" s="1"/>
  <c r="BK48" i="8"/>
  <c r="BL59" i="8"/>
  <c r="BK59" i="8"/>
  <c r="BL17" i="8"/>
  <c r="BM17" i="8" s="1"/>
  <c r="BK17" i="8"/>
  <c r="BK46" i="8"/>
  <c r="BL46" i="8"/>
  <c r="BM46" i="8" s="1"/>
  <c r="BK38" i="8"/>
  <c r="BL38" i="8"/>
  <c r="BM38" i="8" s="1"/>
  <c r="BL27" i="8"/>
  <c r="BM27" i="8" s="1"/>
  <c r="BK27" i="8"/>
  <c r="BK22" i="8"/>
  <c r="BL22" i="8"/>
  <c r="BM22" i="8" s="1"/>
  <c r="BK52" i="8"/>
  <c r="BL52" i="8"/>
  <c r="BM52" i="8" s="1"/>
  <c r="BK37" i="8"/>
  <c r="BL37" i="8"/>
  <c r="BM37" i="8" s="1"/>
  <c r="BK50" i="8"/>
  <c r="BL50" i="8"/>
  <c r="BM50" i="8" s="1"/>
  <c r="BK45" i="8"/>
  <c r="BL45" i="8"/>
  <c r="BM45" i="8" s="1"/>
  <c r="BL49" i="8"/>
  <c r="BM49" i="8" s="1"/>
  <c r="BK49" i="8"/>
  <c r="BL25" i="8"/>
  <c r="BM25" i="8" s="1"/>
  <c r="BK25" i="8"/>
  <c r="BL34" i="8"/>
  <c r="BM34" i="8" s="1"/>
  <c r="BK34" i="8"/>
  <c r="BL40" i="8"/>
  <c r="BM40" i="8" s="1"/>
  <c r="BK40" i="8"/>
  <c r="BJ61" i="8"/>
  <c r="BK10" i="8"/>
  <c r="BL12" i="8"/>
  <c r="BK6" i="8"/>
  <c r="BK13" i="8"/>
  <c r="BL13" i="8"/>
  <c r="BM14" i="8" s="1"/>
  <c r="BK5" i="8"/>
  <c r="BL5" i="8"/>
  <c r="BK9" i="8"/>
  <c r="BL9" i="8"/>
  <c r="BM10" i="8" s="1"/>
  <c r="BK7" i="8"/>
  <c r="BL7" i="8"/>
  <c r="BM7" i="8" s="1"/>
  <c r="BK11" i="8"/>
  <c r="BL11" i="8"/>
  <c r="BM11" i="8" s="1"/>
  <c r="BK8" i="8"/>
  <c r="BM59" i="8" l="1"/>
  <c r="BM60" i="8"/>
  <c r="BM8" i="8"/>
  <c r="BM12" i="8"/>
  <c r="BK61" i="8"/>
  <c r="BM6" i="8"/>
  <c r="BM9" i="8"/>
  <c r="BM5" i="8"/>
  <c r="BM13" i="8"/>
  <c r="B17" i="3" l="1"/>
  <c r="B19" i="3" s="1"/>
  <c r="B16" i="3"/>
  <c r="B15" i="3"/>
  <c r="BM61"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<sst xmlns="http://schemas.openxmlformats.org/spreadsheetml/2006/main" count="366" uniqueCount="276">
  <si>
    <t>Total</t>
  </si>
  <si>
    <t>KM Factor</t>
  </si>
  <si>
    <t>K-M P Value</t>
  </si>
  <si>
    <t>Net KM Factor -
KM Factor taking into account pcts audited multiple times</t>
  </si>
  <si>
    <t>Status -
Continue or stop audit</t>
  </si>
  <si>
    <t>Running (cumulative) sum</t>
  </si>
  <si>
    <t>Over Votes</t>
  </si>
  <si>
    <t>Under Votes</t>
  </si>
  <si>
    <t>Batch Number</t>
  </si>
  <si>
    <t>Batch Name</t>
  </si>
  <si>
    <t>Post-Election Audit</t>
  </si>
  <si>
    <t>General Information</t>
  </si>
  <si>
    <t>Contest Audited</t>
  </si>
  <si>
    <t>Number of Precincts within Contest</t>
  </si>
  <si>
    <t>Number of Batches within Contest</t>
  </si>
  <si>
    <t>Number of Ballots Cast within Contest</t>
  </si>
  <si>
    <t>Number of Ballots Cast within Election</t>
  </si>
  <si>
    <t>Confidence Level</t>
  </si>
  <si>
    <t>Number of Batches Audited</t>
  </si>
  <si>
    <t>Number of Unique Batches Audited</t>
  </si>
  <si>
    <t>Number of Ballots Audited</t>
  </si>
  <si>
    <t xml:space="preserve">Number of Tabulation Discrepancies </t>
  </si>
  <si>
    <t xml:space="preserve">Error Rate </t>
  </si>
  <si>
    <t>Number of Precincts with Accurate Signature Tallies</t>
  </si>
  <si>
    <t>Number of Precincts with Accurate Ballot Reconciliation</t>
  </si>
  <si>
    <t>Total Cost of Post-Election Audit</t>
  </si>
  <si>
    <t>Cost Per Ballot (Ballots Cast in Audited Contest Only)</t>
  </si>
  <si>
    <t>Cost Per Ballot (Ballots Cast in Entire Election)</t>
  </si>
  <si>
    <t>Draw</t>
  </si>
  <si>
    <t xml:space="preserve">Number of Responses within Contest </t>
  </si>
  <si>
    <t>Upper Range</t>
  </si>
  <si>
    <t>Lower Range</t>
  </si>
  <si>
    <t>Span</t>
  </si>
  <si>
    <t>Difference Loser</t>
  </si>
  <si>
    <t>Difference Winner</t>
  </si>
  <si>
    <t>Max Differences</t>
  </si>
  <si>
    <t>Canceled Differences</t>
  </si>
  <si>
    <t>Total Differences</t>
  </si>
  <si>
    <t>Process Batch</t>
  </si>
  <si>
    <t>Selection Span</t>
  </si>
  <si>
    <t>Highest Selection Value (Value Included)</t>
  </si>
  <si>
    <t>Lowest Selection Value (Value Included)</t>
  </si>
  <si>
    <t>Minimum For Selection Span</t>
  </si>
  <si>
    <t>Reason For Differences</t>
  </si>
  <si>
    <t>Audit Parameters</t>
  </si>
  <si>
    <t>Precinct Name</t>
  </si>
  <si>
    <t>Explanation</t>
  </si>
  <si>
    <t>Winning Candidate</t>
  </si>
  <si>
    <t>Third Candidate</t>
  </si>
  <si>
    <t>Fourth Candidate</t>
  </si>
  <si>
    <t>Fifth Candidate</t>
  </si>
  <si>
    <t>Sixth Candidate</t>
  </si>
  <si>
    <t>Candidate 5</t>
  </si>
  <si>
    <t>Candidate 6</t>
  </si>
  <si>
    <t>Selection Range</t>
  </si>
  <si>
    <r>
      <t>Precinct (</t>
    </r>
    <r>
      <rPr>
        <i/>
        <vertAlign val="subscript"/>
        <sz val="11"/>
        <color theme="3" tint="-0.249977111117893"/>
        <rFont val="Calibri"/>
        <family val="2"/>
        <scheme val="minor"/>
      </rPr>
      <t>p</t>
    </r>
    <r>
      <rPr>
        <sz val="11"/>
        <color theme="3" tint="-0.249977111117893"/>
        <rFont val="Calibri"/>
        <family val="2"/>
        <scheme val="minor"/>
      </rPr>
      <t>) - Batched by Type</t>
    </r>
  </si>
  <si>
    <r>
      <t>Error Bound (</t>
    </r>
    <r>
      <rPr>
        <i/>
        <sz val="11"/>
        <color theme="3" tint="-0.249977111117893"/>
        <rFont val="Calibri"/>
        <family val="2"/>
        <scheme val="minor"/>
      </rPr>
      <t>u</t>
    </r>
    <r>
      <rPr>
        <vertAlign val="subscript"/>
        <sz val="11"/>
        <color theme="3" tint="-0.249977111117893"/>
        <rFont val="Calibri"/>
        <family val="2"/>
        <scheme val="minor"/>
      </rPr>
      <t xml:space="preserve">p) - </t>
    </r>
    <r>
      <rPr>
        <sz val="11"/>
        <color theme="3" tint="-0.249977111117893"/>
        <rFont val="Calibri"/>
        <family val="2"/>
        <scheme val="minor"/>
      </rPr>
      <t>Max. possible relative overstatement</t>
    </r>
  </si>
  <si>
    <r>
      <rPr>
        <i/>
        <sz val="11"/>
        <color theme="3" tint="-0.249977111117893"/>
        <rFont val="Calibri"/>
        <family val="2"/>
        <scheme val="minor"/>
      </rPr>
      <t>u</t>
    </r>
    <r>
      <rPr>
        <i/>
        <vertAlign val="subscript"/>
        <sz val="11"/>
        <color theme="3" tint="-0.249977111117893"/>
        <rFont val="Calibri"/>
        <family val="2"/>
        <scheme val="minor"/>
      </rPr>
      <t>p</t>
    </r>
    <r>
      <rPr>
        <i/>
        <sz val="11"/>
        <color theme="3" tint="-0.249977111117893"/>
        <rFont val="Calibri"/>
        <family val="2"/>
        <scheme val="minor"/>
      </rPr>
      <t xml:space="preserve">/U </t>
    </r>
    <r>
      <rPr>
        <sz val="11"/>
        <color theme="3" tint="-0.249977111117893"/>
        <rFont val="Calibri"/>
        <family val="2"/>
        <scheme val="minor"/>
      </rPr>
      <t>Selection Probability</t>
    </r>
  </si>
  <si>
    <r>
      <t xml:space="preserve">Times </t>
    </r>
    <r>
      <rPr>
        <i/>
        <vertAlign val="subscript"/>
        <sz val="11"/>
        <color theme="3" tint="-0.249977111117893"/>
        <rFont val="Calibri"/>
        <family val="2"/>
        <scheme val="minor"/>
      </rPr>
      <t>p</t>
    </r>
    <r>
      <rPr>
        <sz val="11"/>
        <color theme="3" tint="-0.249977111117893"/>
        <rFont val="Calibri"/>
        <family val="2"/>
        <scheme val="minor"/>
      </rPr>
      <t xml:space="preserve"> Drawn - With Replacement</t>
    </r>
  </si>
  <si>
    <r>
      <rPr>
        <b/>
        <i/>
        <sz val="11"/>
        <color theme="0"/>
        <rFont val="Calibri"/>
        <family val="2"/>
        <scheme val="minor"/>
      </rPr>
      <t>u</t>
    </r>
    <r>
      <rPr>
        <b/>
        <i/>
        <vertAlign val="subscript"/>
        <sz val="11"/>
        <color theme="0"/>
        <rFont val="Calibri"/>
        <family val="2"/>
        <scheme val="minor"/>
      </rPr>
      <t>p</t>
    </r>
    <r>
      <rPr>
        <b/>
        <i/>
        <sz val="11"/>
        <color theme="0"/>
        <rFont val="Calibri"/>
        <family val="2"/>
        <scheme val="minor"/>
      </rPr>
      <t xml:space="preserve">/U </t>
    </r>
    <r>
      <rPr>
        <b/>
        <sz val="11"/>
        <color theme="0"/>
        <rFont val="Calibri"/>
        <family val="2"/>
        <scheme val="minor"/>
      </rPr>
      <t>Selection Probability</t>
    </r>
  </si>
  <si>
    <r>
      <t xml:space="preserve">Times </t>
    </r>
    <r>
      <rPr>
        <b/>
        <i/>
        <vertAlign val="subscript"/>
        <sz val="11"/>
        <color theme="0"/>
        <rFont val="Calibri"/>
        <family val="2"/>
        <scheme val="minor"/>
      </rPr>
      <t>p</t>
    </r>
    <r>
      <rPr>
        <b/>
        <sz val="11"/>
        <color theme="0"/>
        <rFont val="Calibri"/>
        <family val="2"/>
        <scheme val="minor"/>
      </rPr>
      <t xml:space="preserve"> Drawn - With Replacement</t>
    </r>
  </si>
  <si>
    <t>Losing Candidate</t>
  </si>
  <si>
    <t>Candidate 3</t>
  </si>
  <si>
    <t>Candidate 4</t>
  </si>
  <si>
    <r>
      <t>Precinct (</t>
    </r>
    <r>
      <rPr>
        <b/>
        <i/>
        <vertAlign val="subscript"/>
        <sz val="11"/>
        <color theme="0"/>
        <rFont val="Calibri"/>
        <family val="2"/>
        <scheme val="minor"/>
      </rPr>
      <t>p</t>
    </r>
    <r>
      <rPr>
        <b/>
        <sz val="11"/>
        <color theme="0"/>
        <rFont val="Calibri"/>
        <family val="2"/>
        <scheme val="minor"/>
      </rPr>
      <t>) -
Batched by Type</t>
    </r>
  </si>
  <si>
    <r>
      <t>Error Bound (</t>
    </r>
    <r>
      <rPr>
        <b/>
        <i/>
        <sz val="11"/>
        <color theme="0"/>
        <rFont val="Calibri"/>
        <family val="2"/>
        <scheme val="minor"/>
      </rPr>
      <t>u</t>
    </r>
    <r>
      <rPr>
        <b/>
        <vertAlign val="subscript"/>
        <sz val="11"/>
        <color theme="0"/>
        <rFont val="Calibri"/>
        <family val="2"/>
        <scheme val="minor"/>
      </rPr>
      <t xml:space="preserve">p) -
</t>
    </r>
    <r>
      <rPr>
        <b/>
        <sz val="11"/>
        <color theme="0"/>
        <rFont val="Calibri"/>
        <family val="2"/>
        <scheme val="minor"/>
      </rPr>
      <t>Max. possible relative overstatement</t>
    </r>
  </si>
  <si>
    <r>
      <t xml:space="preserve">Times </t>
    </r>
    <r>
      <rPr>
        <b/>
        <i/>
        <vertAlign val="subscript"/>
        <sz val="11"/>
        <color theme="0"/>
        <rFont val="Calibri"/>
        <family val="2"/>
        <scheme val="minor"/>
      </rPr>
      <t>p</t>
    </r>
    <r>
      <rPr>
        <b/>
        <sz val="11"/>
        <color theme="0"/>
        <rFont val="Calibri"/>
        <family val="2"/>
        <scheme val="minor"/>
      </rPr>
      <t xml:space="preserve"> Drawn -
With Replacement</t>
    </r>
  </si>
  <si>
    <r>
      <t>Taint (</t>
    </r>
    <r>
      <rPr>
        <b/>
        <i/>
        <vertAlign val="subscript"/>
        <sz val="11"/>
        <color theme="0"/>
        <rFont val="Calibri"/>
        <family val="2"/>
        <scheme val="minor"/>
      </rPr>
      <t>t</t>
    </r>
    <r>
      <rPr>
        <b/>
        <sz val="11"/>
        <color theme="0"/>
        <rFont val="Calibri"/>
        <family val="2"/>
        <scheme val="minor"/>
      </rPr>
      <t>) -
Error rate as a proportion of the max possible relative overstatement</t>
    </r>
  </si>
  <si>
    <t>Audit Losing Candidate</t>
  </si>
  <si>
    <t>Audit Winning Candidate</t>
  </si>
  <si>
    <t>Audit Candidate 3</t>
  </si>
  <si>
    <t>Audit Candidate 4</t>
  </si>
  <si>
    <t>Audit Candidate 5</t>
  </si>
  <si>
    <t>Audit Candidate 6</t>
  </si>
  <si>
    <t>Net KM Factor - KM Factor taking into account pcts audited multiple times</t>
  </si>
  <si>
    <t>Status - Continue or stop audit</t>
  </si>
  <si>
    <t>Difference Candidate 3</t>
  </si>
  <si>
    <t>Difference Candidate 4</t>
  </si>
  <si>
    <t>Difference Candidate 5</t>
  </si>
  <si>
    <t>Difference Candidate 6</t>
  </si>
  <si>
    <r>
      <t>Relative Error (</t>
    </r>
    <r>
      <rPr>
        <i/>
        <sz val="11"/>
        <color theme="3" tint="-0.249977111117893"/>
        <rFont val="Calibri"/>
        <family val="2"/>
        <scheme val="minor"/>
      </rPr>
      <t>e</t>
    </r>
    <r>
      <rPr>
        <vertAlign val="subscript"/>
        <sz val="11"/>
        <color theme="3" tint="-0.249977111117893"/>
        <rFont val="Calibri"/>
        <family val="2"/>
        <scheme val="minor"/>
      </rPr>
      <t xml:space="preserve">p) - </t>
    </r>
    <r>
      <rPr>
        <sz val="11"/>
        <color theme="3" tint="-0.249977111117893"/>
        <rFont val="Calibri"/>
        <family val="2"/>
        <scheme val="minor"/>
      </rPr>
      <t>Error Rate as a proportion of the margin of victory for Winning Candidate</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</si>
  <si>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3</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</si>
  <si>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4</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</si>
  <si>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5</t>
    </r>
    <r>
      <rPr>
        <sz val="11"/>
        <color theme="1"/>
        <rFont val="Calibri"/>
        <family val="2"/>
        <scheme val="minor"/>
      </rPr>
      <t/>
    </r>
  </si>
  <si>
    <r>
      <t>Taint (</t>
    </r>
    <r>
      <rPr>
        <i/>
        <vertAlign val="subscript"/>
        <sz val="11"/>
        <color theme="3" tint="-0.249977111117893"/>
        <rFont val="Calibri"/>
        <family val="2"/>
        <scheme val="minor"/>
      </rPr>
      <t>t</t>
    </r>
    <r>
      <rPr>
        <sz val="11"/>
        <color theme="3" tint="-0.249977111117893"/>
        <rFont val="Calibri"/>
        <family val="2"/>
        <scheme val="minor"/>
      </rPr>
      <t>) - Error rate as a proportion of the max possible relative overstatement</t>
    </r>
  </si>
  <si>
    <r>
      <t>Error Bound (</t>
    </r>
    <r>
      <rPr>
        <i/>
        <sz val="11"/>
        <color theme="3" tint="-0.249977111117893"/>
        <rFont val="Calibri"/>
        <family val="2"/>
        <scheme val="minor"/>
      </rPr>
      <t>u</t>
    </r>
    <r>
      <rPr>
        <vertAlign val="subscript"/>
        <sz val="11"/>
        <color theme="3" tint="-0.249977111117893"/>
        <rFont val="Calibri"/>
        <family val="2"/>
        <scheme val="minor"/>
      </rPr>
      <t xml:space="preserve">p) - </t>
    </r>
    <r>
      <rPr>
        <sz val="11"/>
        <color theme="3" tint="-0.249977111117893"/>
        <rFont val="Calibri"/>
        <family val="2"/>
        <scheme val="minor"/>
      </rPr>
      <t>Max. possible relative overstatement - Losing Candidate</t>
    </r>
  </si>
  <si>
    <t>Error Bound (up) - Max. possible relative overstatement - Candidate 3</t>
  </si>
  <si>
    <t>Error Bound (up) - Max. possible relative overstatement - Candidate 4</t>
  </si>
  <si>
    <t>Error Bound (up) - Max. possible relative overstatement - Candidate 5</t>
  </si>
  <si>
    <t>Error Bound (up) - Max. possible relative overstatement - Candidate 6</t>
  </si>
  <si>
    <r>
      <t>Max Error Bound (</t>
    </r>
    <r>
      <rPr>
        <b/>
        <i/>
        <sz val="11"/>
        <color theme="0"/>
        <rFont val="Calibri"/>
        <family val="2"/>
        <scheme val="minor"/>
      </rPr>
      <t>u</t>
    </r>
    <r>
      <rPr>
        <b/>
        <i/>
        <sz val="10"/>
        <color theme="0"/>
        <rFont val="Calibri"/>
        <family val="2"/>
        <scheme val="minor"/>
      </rPr>
      <t>p</t>
    </r>
    <r>
      <rPr>
        <b/>
        <sz val="11"/>
        <color theme="0"/>
        <rFont val="Calibri"/>
        <family val="2"/>
        <scheme val="minor"/>
      </rPr>
      <t>)</t>
    </r>
  </si>
  <si>
    <t>Max Error Bound (up)</t>
  </si>
  <si>
    <t>Max Relative Error (ep)</t>
  </si>
  <si>
    <t>Selection - 
Batch picked for audit</t>
  </si>
  <si>
    <r>
      <t>Batch by Type (</t>
    </r>
    <r>
      <rPr>
        <b/>
        <i/>
        <vertAlign val="subscript"/>
        <sz val="11"/>
        <color theme="0"/>
        <rFont val="Calibri"/>
        <family val="2"/>
        <scheme val="minor"/>
      </rPr>
      <t>p</t>
    </r>
    <r>
      <rPr>
        <b/>
        <sz val="11"/>
        <color theme="0"/>
        <rFont val="Calibri"/>
        <family val="2"/>
        <scheme val="minor"/>
      </rPr>
      <t>)</t>
    </r>
  </si>
  <si>
    <t>Batch by Type (p)</t>
  </si>
  <si>
    <t>Selection - Batch picked for audit</t>
  </si>
  <si>
    <t>Selection -
Batch picked for audit</t>
  </si>
  <si>
    <t>User Editable Columns</t>
  </si>
  <si>
    <t>Calculated Columns (Do Not Edit)</t>
  </si>
  <si>
    <t>Number of Batches per Precinct</t>
  </si>
  <si>
    <t>Click on 'Hide' in the popup menu.</t>
  </si>
  <si>
    <t>Click on 'Unhide' in the popup menu.</t>
  </si>
  <si>
    <t>Winning Candidate / Response</t>
  </si>
  <si>
    <t>First Losing Candidate / Response</t>
  </si>
  <si>
    <t>To extend a table:</t>
  </si>
  <si>
    <t xml:space="preserve">To shrink a table: </t>
  </si>
  <si>
    <t>Save results</t>
  </si>
  <si>
    <r>
      <rPr>
        <b/>
        <sz val="11"/>
        <rFont val="Calibri"/>
        <family val="2"/>
        <scheme val="minor"/>
      </rPr>
      <t>Optional:</t>
    </r>
    <r>
      <rPr>
        <sz val="11"/>
        <rFont val="Calibri"/>
        <family val="2"/>
        <scheme val="minor"/>
      </rPr>
      <t xml:space="preserve"> Type in the total cost for conducting the audit in cell B22.</t>
    </r>
  </si>
  <si>
    <t>S1</t>
  </si>
  <si>
    <t>S2</t>
  </si>
  <si>
    <t>S3</t>
  </si>
  <si>
    <t>S4</t>
  </si>
  <si>
    <t>Candidate / Issue Reponses</t>
  </si>
  <si>
    <t>S5</t>
  </si>
  <si>
    <t>Note: This table will automatically grow as you enter data past the last line.</t>
  </si>
  <si>
    <t>Locate the bottom right cell in the table.</t>
  </si>
  <si>
    <t>Click on the down arrow, then click on 'Paste Values'.</t>
  </si>
  <si>
    <r>
      <t xml:space="preserve">Save a new copy to work from using the 'Save As' option in the menu. </t>
    </r>
    <r>
      <rPr>
        <b/>
        <i/>
        <sz val="11"/>
        <color theme="1"/>
        <rFont val="Calibri"/>
        <family val="2"/>
        <scheme val="minor"/>
      </rPr>
      <t>Do not modify the original 
spreadsheet.</t>
    </r>
  </si>
  <si>
    <r>
      <t xml:space="preserve">Continue auditing the batches until the status for the current batch displays 'Stop'. 
</t>
    </r>
    <r>
      <rPr>
        <b/>
        <i/>
        <sz val="11"/>
        <rFont val="Calibri"/>
        <family val="2"/>
        <scheme val="minor"/>
      </rPr>
      <t>Note: the color of that column will change from green to yellow to red to show the progress.</t>
    </r>
  </si>
  <si>
    <t>Note: The batch name will change to 'END' when there are no more discrepancies to report.</t>
  </si>
  <si>
    <t>Locate on the left of the 'Home' tab an image of a clipboard with word 'Paste' and a down arrow 
below it.</t>
  </si>
  <si>
    <t>On the bottom, right corner of the cell there is a handle, click and hold this handle, dragging 
down to the number of additional rows needed.</t>
  </si>
  <si>
    <t>On the bottom, right corner of the cell there is a handle, click and hold this handle, dragging up 
to the number of rows needing to be removed.</t>
  </si>
  <si>
    <t>Minimum Units to be Selected</t>
  </si>
  <si>
    <t>Number of Actual Units Selected</t>
  </si>
  <si>
    <t>Note: The columns that can be safely edited are marked in the header as "User Editable Columns" and are shaded in a lighter blue.</t>
  </si>
  <si>
    <t>Note: Many columns contain calculation fields and are hidden from view.</t>
  </si>
  <si>
    <t>Enter the Election Date and Election Type in cell A2.</t>
  </si>
  <si>
    <t>Enter the name of the contest that is being audited in cell B5.</t>
  </si>
  <si>
    <t>Enter the number of batches per precinct in cell B8.</t>
  </si>
  <si>
    <t>Enter the number of precincts where the total number of signatures in the precinct poll books equals the total number of Election Day ballots cast in cell B20.</t>
  </si>
  <si>
    <t>Start with the winning candidate or issue response, entering all names/responses in descending order by the number of votes cast.</t>
  </si>
  <si>
    <t>Ensure the data aligns with the correct columns, i.e. all of the over voted values are under the 
header for over votes. Also ensure none of the calculated cells have been overwritten.</t>
  </si>
  <si>
    <t>Enter (or copy/paste as values) the batch names in the first column.</t>
  </si>
  <si>
    <r>
      <t xml:space="preserve">Note: This table will automatically </t>
    </r>
    <r>
      <rPr>
        <b/>
        <u/>
        <sz val="11"/>
        <rFont val="Calibri"/>
        <family val="2"/>
        <scheme val="minor"/>
      </rPr>
      <t>grow</t>
    </r>
    <r>
      <rPr>
        <b/>
        <sz val="11"/>
        <rFont val="Calibri"/>
        <family val="2"/>
        <scheme val="minor"/>
      </rPr>
      <t xml:space="preserve"> to fit the data pasted.</t>
    </r>
  </si>
  <si>
    <t>Return to the "General Info" spreadsheet to set the Audit Parameters.</t>
  </si>
  <si>
    <t>a.</t>
  </si>
  <si>
    <t>b.</t>
  </si>
  <si>
    <t>c.</t>
  </si>
  <si>
    <t>d.</t>
  </si>
  <si>
    <t>e.</t>
  </si>
  <si>
    <t>f.</t>
  </si>
  <si>
    <t>g.</t>
  </si>
  <si>
    <t>h.</t>
  </si>
  <si>
    <t>In the following columns, enter (or copy/paste as values) the votes cast by candidate/response.</t>
  </si>
  <si>
    <t>To hide rows/columns:</t>
  </si>
  <si>
    <t>Select row/column identifier (i.e. Letter 'A' at the top of the spreadsheet for first column, 
Number '1' at the left of the spreadsheet for the first row).</t>
  </si>
  <si>
    <t>With the entire row/column selected, right click on the identifier to bring up the popup menu.</t>
  </si>
  <si>
    <t>To show hidden rows/columns:</t>
  </si>
  <si>
    <t>With the rows/columns selected, right click on the identifier to bring up the popup menu.</t>
  </si>
  <si>
    <t>Note: Do not remove/overwrite the header rows or the total row.</t>
  </si>
  <si>
    <t xml:space="preserve">To paste as values: </t>
  </si>
  <si>
    <t>Note: These steps may differ slightly depending on your Excel settings and version.</t>
  </si>
  <si>
    <t>Supplemental Instructions:</t>
  </si>
  <si>
    <t>Enter (or copy/paste as values) over/under votes in the last two columns.</t>
  </si>
  <si>
    <t>Select and delete any leftover data that is below the table.</t>
  </si>
  <si>
    <t>Enter the data for each batch in the appropriately marked columns 'Audit'.</t>
  </si>
  <si>
    <t>Remember to take into consideration the header rows at the top as well as the totals row at the 
bottom. i.e. If you need 50 rows for your data, you must drag the handle up to row 54. Four (4) rows are designated for the header.</t>
  </si>
  <si>
    <t>Note: The order of candidates/responses will be based on the number of votes received.  Make sure you are entering votes cast into the appropriate column.</t>
  </si>
  <si>
    <t>Remember to take into consideration the header rows at the top as well as the totals row at the 
bottom. i.e. If you need 100 rows for your data, then you must drag the handle down to row 
104. Four (4) rows are designated for the header.</t>
  </si>
  <si>
    <t>Explanation of Discrepancies</t>
  </si>
  <si>
    <t>Enter the total number of possible responses/candidates for the audited contest in cell B9.</t>
  </si>
  <si>
    <t>Enter the total number of ballots cast in the entire election in cell B11.</t>
  </si>
  <si>
    <t>Review the value in cell B12. If desired, the confidence level can be modified.</t>
  </si>
  <si>
    <t>Enter the number of precincts where the total number of ballots ordered equals the number of ballots voted, soiled and unused in cell B21.</t>
  </si>
  <si>
    <t>Candidate 8</t>
  </si>
  <si>
    <t>Candidate 7</t>
  </si>
  <si>
    <t>Seventh Candidate</t>
  </si>
  <si>
    <t>Eighth Candidate</t>
  </si>
  <si>
    <t>Audit Candidate 8</t>
  </si>
  <si>
    <t>Audit Candidate 7</t>
  </si>
  <si>
    <t>Error Bound (up) - Max. possible relative overstatement - Candidate 8</t>
  </si>
  <si>
    <t>Error Bound (up) - Max. possible relative overstatement - Candidate 7</t>
  </si>
  <si>
    <t>Difference Candidate 8</t>
  </si>
  <si>
    <t>Difference Candidate 7</t>
  </si>
  <si>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8</t>
    </r>
  </si>
  <si>
    <t>Relative Error (ep) - Error Rate as a proportion of the margin of victory for  Candidate 7</t>
  </si>
  <si>
    <t>Relative Error (ep) - Error Rate as a proportion of the margin of victory for  Candidate 6</t>
  </si>
  <si>
    <t>Ensure the formulas copied correctly by using the Error Checking function (see S6 below)</t>
  </si>
  <si>
    <t>S6</t>
  </si>
  <si>
    <t>To check for errors:</t>
  </si>
  <si>
    <t>Open the correct worksheet (tab)</t>
  </si>
  <si>
    <t>Click "Error Checking" and correct any formulas as needed</t>
  </si>
  <si>
    <t>Ninth Candidate</t>
  </si>
  <si>
    <t>Tenth Candidate</t>
  </si>
  <si>
    <t>Eleventh Candidate</t>
  </si>
  <si>
    <t>Twelth Candidate</t>
  </si>
  <si>
    <t>Candidate 9</t>
  </si>
  <si>
    <t>Candidate 10</t>
  </si>
  <si>
    <t>Candidate 11</t>
  </si>
  <si>
    <t>Candidate 12</t>
  </si>
  <si>
    <t>Error Bound (up) - Max. possible relative overstatement - Candidate 9</t>
  </si>
  <si>
    <t>Error Bound (up) - Max. possible relative overstatement - Candidate 10</t>
  </si>
  <si>
    <t>Error Bound (up) - Max. possible relative overstatement - Candidate 11</t>
  </si>
  <si>
    <t>Error Bound (up) - Max. possible relative overstatement - Candidate 12</t>
  </si>
  <si>
    <t>Audit Candidate 9</t>
  </si>
  <si>
    <t>Audit Candidate 10</t>
  </si>
  <si>
    <t>Audit Candidate 11</t>
  </si>
  <si>
    <t>Audit Candidate 12</t>
  </si>
  <si>
    <t>Difference Candidate 9</t>
  </si>
  <si>
    <t>Difference Candidate 10</t>
  </si>
  <si>
    <t>Difference Candidate 11</t>
  </si>
  <si>
    <t>Difference Candidate 12</t>
  </si>
  <si>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9</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</si>
  <si>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10</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</si>
  <si>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11</t>
    </r>
    <r>
      <rPr>
        <sz val="11"/>
        <color theme="1"/>
        <rFont val="Calibri"/>
        <family val="2"/>
        <scheme val="minor"/>
      </rPr>
      <t/>
    </r>
  </si>
  <si>
    <r>
      <t>Relative Error (</t>
    </r>
    <r>
      <rPr>
        <i/>
        <sz val="11"/>
        <color theme="3" tint="-0.249977111117893"/>
        <rFont val="Calibri"/>
        <family val="2"/>
        <scheme val="minor"/>
      </rPr>
      <t>e</t>
    </r>
    <r>
      <rPr>
        <sz val="10"/>
        <color theme="3" tint="-0.249977111117893"/>
        <rFont val="Calibri"/>
        <family val="2"/>
        <scheme val="minor"/>
      </rPr>
      <t>p</t>
    </r>
    <r>
      <rPr>
        <sz val="11"/>
        <color theme="3" tint="-0.249977111117893"/>
        <rFont val="Calibri"/>
        <family val="2"/>
        <scheme val="minor"/>
      </rPr>
      <t>) - Error Rate as a proportion of the margin of victory for  Candidate 12</t>
    </r>
    <r>
      <rPr>
        <sz val="11"/>
        <color theme="1"/>
        <rFont val="Calibri"/>
        <family val="2"/>
        <scheme val="minor"/>
      </rPr>
      <t/>
    </r>
  </si>
  <si>
    <t>Note: This spreadsheet is not configured to handle more than twelve (12) candidates or responses.</t>
  </si>
  <si>
    <t>The minimum selection range is calculated and displayed in cell B41.</t>
  </si>
  <si>
    <t>Enter the value generated in cell B41 into cell B42.</t>
  </si>
  <si>
    <t>Enter the value "0" in cell B43.</t>
  </si>
  <si>
    <t>The calculated range for your minimum and maximum values is displayed in cell B44. If the 
value is in red, then your range is smaller than recommended. Adjust the highest value until 
it is higher than the recommended minimum.</t>
  </si>
  <si>
    <t>i.</t>
  </si>
  <si>
    <t>On the Office Menu bar click on the tab titled: 'Home'.</t>
  </si>
  <si>
    <t>Open the formulas toolbar by clicking "Formulas" in the Menu bar</t>
  </si>
  <si>
    <t>2823 BLUE 2-C   (AV)</t>
  </si>
  <si>
    <t>4911 SHAR 1-A   (AV)</t>
  </si>
  <si>
    <t>4912 SHAR 1-B   (AV)</t>
  </si>
  <si>
    <t>4921 SHAR 2-A   (AV)</t>
  </si>
  <si>
    <t>4931 SHAR 3-A   (AV)</t>
  </si>
  <si>
    <t>4932 SHAR 3-B   (AV)</t>
  </si>
  <si>
    <t>4941 SHAR 4-A   (AV)</t>
  </si>
  <si>
    <t>4942 SHAR 4-B   (AV)</t>
  </si>
  <si>
    <t>5201 SPDALE A   (AV)</t>
  </si>
  <si>
    <t>5202 SPDALE B   (AV)</t>
  </si>
  <si>
    <t>5203 SPDALE C   (AV)</t>
  </si>
  <si>
    <t>5204 SPDALE D   (AV)</t>
  </si>
  <si>
    <t>5205 SPDALE E   (AV)</t>
  </si>
  <si>
    <t>5206 SPDALE F   (AV)</t>
  </si>
  <si>
    <t>5207 SPDALE G   (AV)</t>
  </si>
  <si>
    <t>5208 SPDALE H   (AV)</t>
  </si>
  <si>
    <t>6801 EVEN A   (AV)</t>
  </si>
  <si>
    <t>6802 EVEN B   (AV)</t>
  </si>
  <si>
    <t>7001 GLEN A   (AV)</t>
  </si>
  <si>
    <t>7002 GLEN B   (AV)</t>
  </si>
  <si>
    <t>7701 LIN HT A   (AV)</t>
  </si>
  <si>
    <t>7702 LIN HT B   (AV)</t>
  </si>
  <si>
    <t>8724 SPFLD X   (AV)</t>
  </si>
  <si>
    <t>8902 SYCAM B   (AV)</t>
  </si>
  <si>
    <t>8904 SYCAM D   (AV)</t>
  </si>
  <si>
    <t>8909 SYCAM I   (AV)</t>
  </si>
  <si>
    <t>9701 WOOD A   (AV)</t>
  </si>
  <si>
    <t>9702 WOOD B   (AV)</t>
  </si>
  <si>
    <t>2823 BLUE 2-C   (ED)</t>
  </si>
  <si>
    <t>4911 SHAR 1-A   (ED)</t>
  </si>
  <si>
    <t>4912 SHAR 1-B   (ED)</t>
  </si>
  <si>
    <t>4921 SHAR 2-A   (ED)</t>
  </si>
  <si>
    <t>4931 SHAR 3-A   (ED)</t>
  </si>
  <si>
    <t>4932 SHAR 3-B   (ED)</t>
  </si>
  <si>
    <t>4941 SHAR 4-A   (ED)</t>
  </si>
  <si>
    <t>4942 SHAR 4-B   (ED)</t>
  </si>
  <si>
    <t>5201 SPDALE A   (ED)</t>
  </si>
  <si>
    <t>5202 SPDALE B   (ED)</t>
  </si>
  <si>
    <t>5203 SPDALE C   (ED)</t>
  </si>
  <si>
    <t>5204 SPDALE D   (ED)</t>
  </si>
  <si>
    <t>5205 SPDALE E   (ED)</t>
  </si>
  <si>
    <t>5206 SPDALE F   (ED)</t>
  </si>
  <si>
    <t>5207 SPDALE G   (ED)</t>
  </si>
  <si>
    <t>5208 SPDALE H   (ED)</t>
  </si>
  <si>
    <t>6801 EVEN A   (ED)</t>
  </si>
  <si>
    <t>6802 EVEN B   (ED)</t>
  </si>
  <si>
    <t>7001 GLEN A   (ED)</t>
  </si>
  <si>
    <t>7002 GLEN B   (ED)</t>
  </si>
  <si>
    <t>7701 LIN HT A   (ED)</t>
  </si>
  <si>
    <t>7702 LIN HT B   (ED)</t>
  </si>
  <si>
    <t>8724 SPFLD X   (ED)</t>
  </si>
  <si>
    <t>8902 SYCAM B   (ED)</t>
  </si>
  <si>
    <t>8904 SYCAM D   (ED)</t>
  </si>
  <si>
    <t>8909 SYCAM I   (ED)</t>
  </si>
  <si>
    <t>9701 WOOD A   (ED)</t>
  </si>
  <si>
    <t>9702 WOOD B   (ED)</t>
  </si>
  <si>
    <t>FOR THE TAX LEVY</t>
  </si>
  <si>
    <t>AGAINST THE TAX LEVY</t>
  </si>
  <si>
    <t>2025 Primary (May 6, 2025)</t>
  </si>
  <si>
    <t>Issue 11: Princeton School District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</si>
</sst>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0000"/>
    <numFmt numFmtId="166" formatCode="_(* #,##0_);_(* \(#,##0\);_(* &quot;-&quot;??_);_(@_)"/>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color indexed="8"/>
      <name val="Calibri"/>
      <family val="2"/>
    </font>
    <font>
      <b/>
      <sz val="18"/>
      <color theme="0"/>
      <name val="Calibri"/>
      <family val="2"/>
      <scheme val="minor"/>
    </font>
    <font>
      <sz val="11"/>
      <name val="Calibri"/>
      <family val="2"/>
      <scheme val="minor"/>
    </font>
    <font>
      <b/>
      <sz val="11"/>
      <name val="Calibri"/>
      <family val="2"/>
    </font>
    <font>
      <b/>
      <sz val="10"/>
      <name val="Arial"/>
      <family val="2"/>
    </font>
    <font>
      <b/>
      <i/>
      <vertAlign val="subscript"/>
      <sz val="11"/>
      <color theme="0"/>
      <name val="Calibri"/>
      <family val="2"/>
      <scheme val="minor"/>
    </font>
    <font>
      <b/>
      <i/>
      <sz val="11"/>
      <color theme="0"/>
      <name val="Calibri"/>
      <family val="2"/>
      <scheme val="minor"/>
    </font>
    <font>
      <b/>
      <vertAlign val="subscript"/>
      <sz val="11"/>
      <color theme="0"/>
      <name val="Calibri"/>
      <family val="2"/>
      <scheme val="minor"/>
    </font>
    <font>
      <b/>
      <sz val="11"/>
      <name val="Calibri"/>
      <family val="2"/>
      <scheme val="minor"/>
    </font>
    <font>
      <sz val="11"/>
      <color theme="6" tint="-0.499984740745262"/>
      <name val="Calibri"/>
      <family val="2"/>
      <scheme val="minor"/>
    </font>
    <font>
      <sz val="11"/>
      <color theme="3" tint="-0.249977111117893"/>
      <name val="Calibri"/>
      <family val="2"/>
      <scheme val="minor"/>
    </font>
    <font>
      <sz val="11"/>
      <color theme="4" tint="-0.249977111117893"/>
      <name val="Calibri"/>
      <family val="2"/>
      <scheme val="minor"/>
    </font>
    <font>
      <b/>
      <i/>
      <sz val="11"/>
      <name val="Calibri"/>
      <family val="2"/>
      <scheme val="minor"/>
    </font>
    <font>
      <i/>
      <vertAlign val="subscript"/>
      <sz val="11"/>
      <color theme="3" tint="-0.249977111117893"/>
      <name val="Calibri"/>
      <family val="2"/>
      <scheme val="minor"/>
    </font>
    <font>
      <i/>
      <sz val="11"/>
      <color theme="3" tint="-0.249977111117893"/>
      <name val="Calibri"/>
      <family val="2"/>
      <scheme val="minor"/>
    </font>
    <font>
      <vertAlign val="subscript"/>
      <sz val="11"/>
      <color theme="3" tint="-0.249977111117893"/>
      <name val="Calibri"/>
      <family val="2"/>
      <scheme val="minor"/>
    </font>
    <font>
      <b/>
      <sz val="11"/>
      <color theme="3" tint="-0.249977111117893"/>
      <name val="Calibri"/>
      <family val="2"/>
      <scheme val="minor"/>
    </font>
    <font>
      <b/>
      <i/>
      <sz val="10"/>
      <color theme="0"/>
      <name val="Calibri"/>
      <family val="2"/>
      <scheme val="minor"/>
    </font>
    <font>
      <sz val="10"/>
      <color theme="3" tint="-0.249977111117893"/>
      <name val="Calibri"/>
      <family val="2"/>
      <scheme val="minor"/>
    </font>
    <font>
      <b/>
      <i/>
      <sz val="11"/>
      <color theme="1"/>
      <name val="Calibri"/>
      <family val="2"/>
      <scheme val="minor"/>
    </font>
    <font>
      <b/>
      <u/>
      <sz val="11"/>
      <name val="Calibri"/>
      <family val="2"/>
      <scheme val="minor"/>
    </font>
    <font>
      <sz val="14"/>
      <color theme="1"/>
      <name val="Calibri"/>
      <family val="2"/>
      <scheme val="minor"/>
    </font>
    <font>
      <sz val="14"/>
      <name val="Calibri"/>
      <family val="2"/>
      <scheme val="minor"/>
    </font>
    <font>
      <sz val="11"/>
      <color rgb="FFFF0000"/>
      <name val="Calibri"/>
      <family val="2"/>
      <scheme val="minor"/>
    </font>
    <font>
      <sz val="11"/>
      <color theme="6" tint="-0.499984740745262"/>
      <name val="Calibri"/>
      <family val="2"/>
      <scheme val="minor"/>
    </font>
    <font>
      <sz val="11"/>
      <name val="Calibri"/>
      <family val="2"/>
      <scheme val="minor"/>
    </font>
    <font>
      <b/>
      <sz val="11"/>
      <color theme="1"/>
      <name val="Calibri"/>
      <family val="2"/>
      <scheme val="minor"/>
    </font>
    <font>
      <sz val="11"/>
      <name val="Calibri"/>
      <family val="2"/>
    </font>
    <font>
      <b/>
      <sz val="11"/>
      <color rgb="FFC00000"/>
      <name val="Calibri"/>
      <family val="2"/>
      <scheme val="minor"/>
    </font>
    <font>
      <sz val="11"/>
      <color theme="6" tint="-0.499984740745262"/>
      <name val="Calibri"/>
      <scheme val="minor"/>
    </font>
    <font>
      <sz val="11"/>
      <name val="Calibri"/>
      <scheme val="minor"/>
    </font>
    <font>
      <sz val="11"/>
      <color theme="1"/>
      <name val="Calibri"/>
      <scheme val="minor"/>
    </font>
  </fonts>
  <fills count="9">
    <fill>
      <patternFill patternType="none"/>
    </fill>
    <fill>
      <patternFill patternType="gray125"/>
    </fill>
    <fill>
      <patternFill patternType="solid">
        <fgColor theme="3" tint="-0.249977111117893"/>
        <bgColor indexed="64"/>
      </patternFill>
    </fill>
    <fill>
      <patternFill patternType="solid">
        <fgColor theme="0"/>
        <bgColor theme="4" tint="0.79998168889431442"/>
      </patternFill>
    </fill>
    <fill>
      <patternFill patternType="solid">
        <fgColor theme="4" tint="0.79998168889431442"/>
        <bgColor theme="4" tint="0.79998168889431442"/>
      </patternFill>
    </fill>
    <fill>
      <patternFill patternType="solid">
        <fgColor rgb="FF538DD5"/>
        <bgColor rgb="FF000000"/>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right>
      <top/>
      <bottom style="thin">
        <color theme="4"/>
      </bottom>
      <diagonal/>
    </border>
    <border>
      <left style="thin">
        <color theme="4" tint="0.59999389629810485"/>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59999389629810485"/>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style="thin">
        <color theme="4"/>
      </left>
      <right style="thin">
        <color theme="4"/>
      </right>
      <top style="double">
        <color theme="4"/>
      </top>
      <bottom style="thin">
        <color theme="4"/>
      </bottom>
      <diagonal/>
    </border>
    <border>
      <left/>
      <right style="thin">
        <color theme="4"/>
      </right>
      <top style="double">
        <color theme="4"/>
      </top>
      <bottom style="thin">
        <color theme="4"/>
      </bottom>
      <diagonal/>
    </border>
    <border>
      <left/>
      <right style="thin">
        <color theme="4"/>
      </right>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59999389629810485"/>
      </left>
      <right/>
      <top style="thin">
        <color theme="4" tint="0.59999389629810485"/>
      </top>
      <bottom style="thin">
        <color theme="0"/>
      </bottom>
      <diagonal/>
    </border>
    <border>
      <left/>
      <right/>
      <top style="thin">
        <color theme="4" tint="0.59999389629810485"/>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4" tint="-0.24994659260841701"/>
      </bottom>
      <diagonal/>
    </border>
    <border>
      <left style="thin">
        <color theme="0"/>
      </left>
      <right style="thin">
        <color theme="0"/>
      </right>
      <top style="thin">
        <color theme="4" tint="-0.24994659260841701"/>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theme="4" tint="-0.24994659260841701"/>
      </bottom>
      <diagonal/>
    </border>
    <border>
      <left style="thin">
        <color theme="0"/>
      </left>
      <right/>
      <top style="thin">
        <color theme="4" tint="-0.24994659260841701"/>
      </top>
      <bottom style="thin">
        <color theme="0"/>
      </bottom>
      <diagonal/>
    </border>
    <border>
      <left style="thin">
        <color theme="0"/>
      </left>
      <right style="thin">
        <color theme="0"/>
      </right>
      <top style="thin">
        <color theme="0"/>
      </top>
      <bottom style="thin">
        <color theme="3" tint="-0.24994659260841701"/>
      </bottom>
      <diagonal/>
    </border>
    <border>
      <left style="thin">
        <color theme="0"/>
      </left>
      <right style="thin">
        <color theme="0"/>
      </right>
      <top style="thin">
        <color theme="3" tint="-0.24994659260841701"/>
      </top>
      <bottom style="thin">
        <color theme="0"/>
      </bottom>
      <diagonal/>
    </border>
    <border>
      <left/>
      <right style="thin">
        <color theme="4" tint="0.59999389629810485"/>
      </right>
      <top/>
      <bottom style="thin">
        <color theme="4" tint="0.59999389629810485"/>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bottom style="thin">
        <color theme="4" tint="0.39997558519241921"/>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style="thin">
        <color theme="4" tint="0.59999389629810485"/>
      </right>
      <top style="thin">
        <color theme="4" tint="0.59999389629810485"/>
      </top>
      <bottom style="thin">
        <color theme="0"/>
      </bottom>
      <diagonal/>
    </border>
    <border>
      <left style="thin">
        <color theme="4" tint="0.59999389629810485"/>
      </left>
      <right/>
      <top style="thin">
        <color theme="4" tint="0.39997558519241921"/>
      </top>
      <bottom style="thin">
        <color theme="4" tint="0.39997558519241921"/>
      </bottom>
      <diagonal/>
    </border>
    <border>
      <left style="thin">
        <color theme="4" tint="0.39997558519241921"/>
      </left>
      <right style="thin">
        <color theme="4" tint="0.59999389629810485"/>
      </right>
      <top style="thin">
        <color theme="4" tint="0.39997558519241921"/>
      </top>
      <bottom/>
      <diagonal/>
    </border>
    <border>
      <left style="thin">
        <color theme="4" tint="0.39997558519241921"/>
      </left>
      <right style="thin">
        <color theme="4" tint="0.59999389629810485"/>
      </right>
      <top/>
      <bottom style="thin">
        <color theme="4" tint="0.39997558519241921"/>
      </bottom>
      <diagonal/>
    </border>
  </borders>
  <cellStyleXfs count="4">
    <xf numFmtId="0" fontId="0" fillId="0" borderId="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182">
    <xf numFmtId="0" fontId="0" fillId="0" borderId="0" xfId="0"/>
    <xf numFmtId="0" fontId="3" fillId="0" borderId="0" xfId="0" applyFont="1" applyAlignment="1">
      <alignment horizontal="center" vertical="center" wrapText="1"/>
    </xf>
    <xf numFmtId="0" fontId="4" fillId="2" borderId="1" xfId="0" applyFont="1" applyFill="1" applyBorder="1" applyAlignment="1">
      <alignment horizontal="center"/>
    </xf>
    <xf numFmtId="0" fontId="2" fillId="0" borderId="1" xfId="0" applyFont="1" applyBorder="1" applyAlignment="1">
      <alignment horizontal="left"/>
    </xf>
    <xf numFmtId="9" fontId="2" fillId="0" borderId="1" xfId="0" applyNumberFormat="1" applyFont="1" applyBorder="1" applyAlignment="1">
      <alignment horizontal="center"/>
    </xf>
    <xf numFmtId="0" fontId="2" fillId="0" borderId="1" xfId="0" applyFont="1" applyBorder="1" applyAlignment="1">
      <alignment horizontal="left" vertical="center"/>
    </xf>
    <xf numFmtId="164" fontId="2" fillId="0" borderId="1" xfId="3" applyNumberFormat="1" applyFont="1" applyFill="1" applyBorder="1" applyAlignment="1">
      <alignment horizontal="center"/>
    </xf>
    <xf numFmtId="0" fontId="2" fillId="4" borderId="3" xfId="0" applyFont="1" applyFill="1" applyBorder="1" applyAlignment="1">
      <alignment horizontal="left"/>
    </xf>
    <xf numFmtId="0" fontId="2" fillId="0" borderId="3" xfId="0" applyFont="1" applyBorder="1" applyAlignment="1">
      <alignment horizontal="left"/>
    </xf>
    <xf numFmtId="0" fontId="8" fillId="5" borderId="5" xfId="0" applyFont="1" applyFill="1" applyBorder="1" applyAlignment="1">
      <alignment horizontal="center" vertical="center" wrapText="1"/>
    </xf>
    <xf numFmtId="0" fontId="9" fillId="5" borderId="5" xfId="0" applyFont="1" applyFill="1" applyBorder="1" applyAlignment="1">
      <alignment horizontal="center"/>
    </xf>
    <xf numFmtId="3" fontId="2" fillId="0" borderId="1" xfId="0" applyNumberFormat="1" applyFont="1" applyBorder="1" applyAlignment="1">
      <alignment horizontal="center"/>
    </xf>
    <xf numFmtId="3" fontId="2" fillId="0" borderId="1" xfId="2" applyNumberFormat="1" applyFont="1" applyFill="1" applyBorder="1" applyAlignment="1" applyProtection="1">
      <alignment horizontal="center"/>
    </xf>
    <xf numFmtId="10" fontId="2" fillId="0" borderId="1" xfId="0" applyNumberFormat="1" applyFont="1" applyBorder="1" applyAlignment="1">
      <alignment horizontal="center" vertical="center"/>
    </xf>
    <xf numFmtId="0" fontId="2" fillId="0" borderId="1" xfId="0" applyFont="1" applyBorder="1" applyAlignment="1">
      <alignment horizontal="center"/>
    </xf>
    <xf numFmtId="0" fontId="0" fillId="0" borderId="0" xfId="0" applyProtection="1">
      <protection locked="0"/>
    </xf>
    <xf numFmtId="0" fontId="0" fillId="0" borderId="0" xfId="0" applyAlignment="1">
      <alignment horizontal="left"/>
    </xf>
    <xf numFmtId="0" fontId="14" fillId="0" borderId="0" xfId="0" applyFont="1" applyAlignment="1">
      <alignment horizontal="right"/>
    </xf>
    <xf numFmtId="0" fontId="14" fillId="0" borderId="0" xfId="0" applyFont="1"/>
    <xf numFmtId="3" fontId="14" fillId="0" borderId="0" xfId="0" applyNumberFormat="1" applyFont="1"/>
    <xf numFmtId="10" fontId="14" fillId="0" borderId="2" xfId="0" applyNumberFormat="1" applyFont="1" applyBorder="1"/>
    <xf numFmtId="0" fontId="14" fillId="0" borderId="8" xfId="0" applyFont="1" applyBorder="1"/>
    <xf numFmtId="10" fontId="14" fillId="0" borderId="8" xfId="0" applyNumberFormat="1" applyFont="1" applyBorder="1"/>
    <xf numFmtId="0" fontId="14" fillId="0" borderId="2" xfId="0" applyFont="1" applyBorder="1"/>
    <xf numFmtId="0" fontId="14" fillId="0" borderId="0" xfId="0" applyFont="1" applyAlignment="1">
      <alignment horizontal="center"/>
    </xf>
    <xf numFmtId="0" fontId="14"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4" fillId="6" borderId="13"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3" fontId="4" fillId="2" borderId="20" xfId="0" applyNumberFormat="1" applyFont="1" applyFill="1" applyBorder="1" applyAlignment="1">
      <alignment horizontal="center" vertical="center" wrapText="1"/>
    </xf>
    <xf numFmtId="3" fontId="15" fillId="2" borderId="21" xfId="0" applyNumberFormat="1" applyFont="1" applyFill="1" applyBorder="1" applyAlignment="1">
      <alignment horizontal="center" vertical="center" wrapText="1"/>
    </xf>
    <xf numFmtId="3" fontId="16" fillId="6" borderId="13"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3" fontId="21" fillId="2" borderId="13" xfId="0" applyNumberFormat="1" applyFont="1" applyFill="1" applyBorder="1" applyAlignment="1">
      <alignment horizontal="center" vertical="center" wrapText="1"/>
    </xf>
    <xf numFmtId="10" fontId="15" fillId="2" borderId="13" xfId="0" applyNumberFormat="1" applyFont="1" applyFill="1" applyBorder="1" applyAlignment="1">
      <alignment horizontal="center" vertical="center" wrapText="1"/>
    </xf>
    <xf numFmtId="0" fontId="16" fillId="6" borderId="22" xfId="0" applyFont="1" applyFill="1" applyBorder="1" applyAlignment="1">
      <alignment horizontal="center" vertical="center" wrapText="1"/>
    </xf>
    <xf numFmtId="0" fontId="4" fillId="2" borderId="14" xfId="0" applyFont="1" applyFill="1" applyBorder="1" applyAlignment="1">
      <alignment horizontal="center" vertical="center" wrapText="1"/>
    </xf>
    <xf numFmtId="3" fontId="4" fillId="2" borderId="14" xfId="0" applyNumberFormat="1" applyFont="1" applyFill="1" applyBorder="1" applyAlignment="1">
      <alignment horizontal="center" vertical="center" wrapText="1"/>
    </xf>
    <xf numFmtId="10" fontId="4" fillId="2" borderId="14" xfId="0" applyNumberFormat="1" applyFont="1" applyFill="1" applyBorder="1" applyAlignment="1">
      <alignment horizontal="center" vertical="center" wrapText="1"/>
    </xf>
    <xf numFmtId="0" fontId="4" fillId="6" borderId="22" xfId="0" applyFont="1" applyFill="1" applyBorder="1" applyAlignment="1">
      <alignment horizontal="center" vertical="center" wrapText="1"/>
    </xf>
    <xf numFmtId="9" fontId="0" fillId="0" borderId="0" xfId="0" applyNumberFormat="1"/>
    <xf numFmtId="165" fontId="0" fillId="0" borderId="0" xfId="0" applyNumberFormat="1" applyAlignment="1">
      <alignment horizontal="center"/>
    </xf>
    <xf numFmtId="165" fontId="1" fillId="0" borderId="0" xfId="0" applyNumberFormat="1" applyFont="1" applyAlignment="1">
      <alignment horizontal="center"/>
    </xf>
    <xf numFmtId="3" fontId="2" fillId="4" borderId="4" xfId="0" applyNumberFormat="1" applyFont="1" applyFill="1" applyBorder="1" applyAlignment="1">
      <alignment horizontal="center" wrapText="1"/>
    </xf>
    <xf numFmtId="0" fontId="7" fillId="7" borderId="32" xfId="0" applyFont="1" applyFill="1" applyBorder="1" applyAlignment="1">
      <alignment horizontal="left" vertical="top" wrapText="1"/>
    </xf>
    <xf numFmtId="0" fontId="13" fillId="7" borderId="32" xfId="0" applyFont="1" applyFill="1" applyBorder="1" applyAlignment="1">
      <alignment horizontal="left" vertical="top" wrapText="1"/>
    </xf>
    <xf numFmtId="0" fontId="7" fillId="7" borderId="35" xfId="0" applyFont="1" applyFill="1" applyBorder="1" applyAlignment="1">
      <alignment horizontal="left" vertical="top" wrapText="1"/>
    </xf>
    <xf numFmtId="0" fontId="7" fillId="7" borderId="0" xfId="0" applyFont="1" applyFill="1" applyAlignment="1">
      <alignment horizontal="center" vertical="top" wrapText="1"/>
    </xf>
    <xf numFmtId="0" fontId="7" fillId="7" borderId="32" xfId="0" applyFont="1" applyFill="1" applyBorder="1" applyAlignment="1">
      <alignment vertical="top" wrapText="1"/>
    </xf>
    <xf numFmtId="0" fontId="7" fillId="7" borderId="35" xfId="0" applyFont="1" applyFill="1" applyBorder="1" applyAlignment="1">
      <alignment vertical="top" wrapText="1"/>
    </xf>
    <xf numFmtId="0" fontId="7" fillId="7" borderId="34" xfId="0" applyFont="1" applyFill="1" applyBorder="1" applyAlignment="1">
      <alignment horizontal="center" vertical="top" wrapText="1"/>
    </xf>
    <xf numFmtId="0" fontId="7" fillId="7" borderId="37" xfId="0" applyFont="1" applyFill="1" applyBorder="1" applyAlignment="1">
      <alignment horizontal="center" vertical="top" wrapText="1"/>
    </xf>
    <xf numFmtId="0" fontId="7" fillId="7" borderId="39" xfId="0" applyFont="1" applyFill="1" applyBorder="1" applyAlignment="1">
      <alignment horizontal="center" vertical="top" wrapText="1"/>
    </xf>
    <xf numFmtId="0" fontId="27" fillId="7" borderId="25" xfId="0" applyFont="1" applyFill="1" applyBorder="1" applyAlignment="1">
      <alignment horizontal="center" vertical="center" wrapText="1"/>
    </xf>
    <xf numFmtId="0" fontId="7" fillId="8" borderId="0" xfId="0" applyFont="1" applyFill="1" applyAlignment="1">
      <alignment horizontal="center" vertical="top" wrapText="1"/>
    </xf>
    <xf numFmtId="0" fontId="7" fillId="8" borderId="32" xfId="0" applyFont="1" applyFill="1" applyBorder="1" applyAlignment="1">
      <alignment horizontal="left" vertical="top" wrapText="1"/>
    </xf>
    <xf numFmtId="0" fontId="13" fillId="8" borderId="32" xfId="0" applyFont="1" applyFill="1" applyBorder="1" applyAlignment="1">
      <alignment horizontal="left" vertical="top" wrapText="1"/>
    </xf>
    <xf numFmtId="0" fontId="7" fillId="8" borderId="34" xfId="0" applyFont="1" applyFill="1" applyBorder="1" applyAlignment="1">
      <alignment horizontal="center" vertical="top" wrapText="1"/>
    </xf>
    <xf numFmtId="0" fontId="7" fillId="8" borderId="35" xfId="0" applyFont="1" applyFill="1" applyBorder="1" applyAlignment="1">
      <alignment horizontal="left" vertical="top" wrapText="1"/>
    </xf>
    <xf numFmtId="0" fontId="27" fillId="8" borderId="33" xfId="0" applyFont="1" applyFill="1" applyBorder="1" applyAlignment="1">
      <alignment horizontal="center" vertical="center" wrapText="1"/>
    </xf>
    <xf numFmtId="0" fontId="7" fillId="8" borderId="37" xfId="0" applyFont="1" applyFill="1" applyBorder="1" applyAlignment="1">
      <alignment horizontal="center" vertical="top" wrapText="1"/>
    </xf>
    <xf numFmtId="0" fontId="7" fillId="8" borderId="39" xfId="0" applyFont="1" applyFill="1" applyBorder="1" applyAlignment="1">
      <alignment horizontal="center" vertical="top" wrapText="1"/>
    </xf>
    <xf numFmtId="0" fontId="7" fillId="8" borderId="32" xfId="0" applyFont="1" applyFill="1" applyBorder="1" applyAlignment="1">
      <alignment vertical="top" wrapText="1"/>
    </xf>
    <xf numFmtId="0" fontId="7" fillId="8" borderId="35" xfId="0" applyFont="1" applyFill="1" applyBorder="1" applyAlignment="1">
      <alignment vertical="top" wrapText="1"/>
    </xf>
    <xf numFmtId="0" fontId="26" fillId="8" borderId="36" xfId="0" applyFont="1" applyFill="1" applyBorder="1" applyAlignment="1">
      <alignment horizontal="center" vertical="top" wrapText="1"/>
    </xf>
    <xf numFmtId="0" fontId="0" fillId="0" borderId="44" xfId="0" applyBorder="1"/>
    <xf numFmtId="0" fontId="0" fillId="0" borderId="45" xfId="0" applyBorder="1"/>
    <xf numFmtId="0" fontId="2" fillId="0" borderId="46" xfId="0" applyFont="1" applyBorder="1"/>
    <xf numFmtId="0" fontId="28" fillId="0" borderId="0" xfId="0" applyFont="1"/>
    <xf numFmtId="10" fontId="29" fillId="0" borderId="2" xfId="0" applyNumberFormat="1" applyFont="1" applyBorder="1"/>
    <xf numFmtId="0" fontId="29" fillId="0" borderId="2" xfId="0" applyFont="1" applyBorder="1"/>
    <xf numFmtId="0" fontId="29" fillId="0" borderId="0" xfId="0" applyFont="1"/>
    <xf numFmtId="3" fontId="29" fillId="0" borderId="0" xfId="0" applyNumberFormat="1" applyFont="1"/>
    <xf numFmtId="0" fontId="30" fillId="0" borderId="0" xfId="0" applyFont="1" applyProtection="1">
      <protection locked="0"/>
    </xf>
    <xf numFmtId="3" fontId="30" fillId="0" borderId="0" xfId="0" applyNumberFormat="1" applyFont="1" applyProtection="1">
      <protection locked="0"/>
    </xf>
    <xf numFmtId="0" fontId="29" fillId="0" borderId="8" xfId="0" applyFont="1" applyBorder="1"/>
    <xf numFmtId="0" fontId="4" fillId="2" borderId="13" xfId="0" applyFont="1" applyFill="1" applyBorder="1" applyAlignment="1">
      <alignment horizontal="center" vertical="center" wrapText="1"/>
    </xf>
    <xf numFmtId="0" fontId="31" fillId="0" borderId="0" xfId="0" applyFont="1" applyAlignment="1">
      <alignment horizontal="left"/>
    </xf>
    <xf numFmtId="0" fontId="31" fillId="0" borderId="0" xfId="0" applyFont="1" applyAlignment="1">
      <alignment horizontal="center"/>
    </xf>
    <xf numFmtId="3" fontId="15" fillId="2" borderId="14" xfId="0" applyNumberFormat="1" applyFont="1" applyFill="1" applyBorder="1" applyAlignment="1">
      <alignment horizontal="center" vertical="center" wrapText="1"/>
    </xf>
    <xf numFmtId="166" fontId="0" fillId="0" borderId="0" xfId="2" applyNumberFormat="1" applyFont="1"/>
    <xf numFmtId="0" fontId="2" fillId="4" borderId="50" xfId="0" applyFont="1" applyFill="1" applyBorder="1" applyAlignment="1">
      <alignment horizontal="left"/>
    </xf>
    <xf numFmtId="3" fontId="2" fillId="0" borderId="51" xfId="0" applyNumberFormat="1" applyFont="1" applyBorder="1" applyAlignment="1">
      <alignment horizontal="center"/>
    </xf>
    <xf numFmtId="3" fontId="2" fillId="0" borderId="52" xfId="0" applyNumberFormat="1" applyFont="1" applyBorder="1" applyAlignment="1">
      <alignment horizontal="center"/>
    </xf>
    <xf numFmtId="0" fontId="2" fillId="4" borderId="50" xfId="0" applyFont="1" applyFill="1" applyBorder="1" applyAlignment="1">
      <alignment horizontal="center"/>
    </xf>
    <xf numFmtId="0" fontId="4" fillId="6" borderId="23" xfId="0" applyFont="1" applyFill="1" applyBorder="1" applyAlignment="1">
      <alignment horizontal="center" vertical="center" wrapText="1"/>
    </xf>
    <xf numFmtId="0" fontId="0" fillId="0" borderId="0" xfId="2" applyNumberFormat="1" applyFont="1" applyProtection="1">
      <protection locked="0"/>
    </xf>
    <xf numFmtId="0" fontId="29" fillId="0" borderId="0" xfId="2" applyNumberFormat="1" applyFont="1" applyAlignment="1" applyProtection="1">
      <alignment horizontal="right"/>
    </xf>
    <xf numFmtId="0" fontId="29" fillId="0" borderId="0" xfId="2" applyNumberFormat="1" applyFont="1"/>
    <xf numFmtId="0" fontId="29" fillId="0" borderId="0" xfId="2" applyNumberFormat="1" applyFont="1" applyAlignment="1">
      <alignment horizontal="right"/>
    </xf>
    <xf numFmtId="0" fontId="0" fillId="0" borderId="0" xfId="2" applyNumberFormat="1" applyFont="1"/>
    <xf numFmtId="0" fontId="32" fillId="0" borderId="0" xfId="2" applyNumberFormat="1" applyFont="1" applyProtection="1">
      <protection locked="0"/>
    </xf>
    <xf numFmtId="0" fontId="14" fillId="0" borderId="0" xfId="2" applyNumberFormat="1" applyFont="1" applyAlignment="1" applyProtection="1">
      <alignment horizontal="right"/>
    </xf>
    <xf numFmtId="0" fontId="14" fillId="0" borderId="0" xfId="2" applyNumberFormat="1" applyFont="1"/>
    <xf numFmtId="0" fontId="14" fillId="0" borderId="0" xfId="2" applyNumberFormat="1" applyFont="1" applyAlignment="1">
      <alignment horizontal="right"/>
    </xf>
    <xf numFmtId="0" fontId="33" fillId="7" borderId="32" xfId="0" applyFont="1" applyFill="1" applyBorder="1" applyAlignment="1">
      <alignment horizontal="left" vertical="top" wrapText="1"/>
    </xf>
    <xf numFmtId="0" fontId="33" fillId="8" borderId="32" xfId="0" applyFont="1" applyFill="1" applyBorder="1" applyAlignment="1">
      <alignment horizontal="left" vertical="top" wrapText="1"/>
    </xf>
    <xf numFmtId="43" fontId="14" fillId="0" borderId="0" xfId="2" applyFont="1"/>
    <xf numFmtId="166" fontId="14" fillId="0" borderId="0" xfId="0" applyNumberFormat="1" applyFont="1"/>
    <xf numFmtId="166" fontId="14" fillId="0" borderId="0" xfId="0" applyNumberFormat="1" applyFont="1" applyAlignment="1">
      <alignment horizontal="right"/>
    </xf>
    <xf numFmtId="0" fontId="14" fillId="3" borderId="6" xfId="0" applyFont="1" applyFill="1" applyBorder="1"/>
    <xf numFmtId="0" fontId="14" fillId="3" borderId="7" xfId="0" applyFont="1" applyFill="1" applyBorder="1"/>
    <xf numFmtId="3" fontId="14" fillId="3" borderId="7" xfId="0" applyNumberFormat="1" applyFont="1" applyFill="1" applyBorder="1"/>
    <xf numFmtId="10" fontId="14" fillId="3" borderId="7" xfId="0" applyNumberFormat="1" applyFont="1" applyFill="1" applyBorder="1"/>
    <xf numFmtId="9" fontId="14" fillId="3" borderId="7" xfId="0" applyNumberFormat="1" applyFont="1" applyFill="1" applyBorder="1"/>
    <xf numFmtId="10" fontId="34" fillId="0" borderId="2" xfId="0" applyNumberFormat="1" applyFont="1" applyBorder="1"/>
    <xf numFmtId="0" fontId="34" fillId="0" borderId="2" xfId="0" applyFont="1" applyBorder="1"/>
    <xf numFmtId="0" fontId="34" fillId="0" borderId="0" xfId="0" applyFont="1"/>
    <xf numFmtId="3" fontId="34" fillId="0" borderId="0" xfId="0" applyNumberFormat="1" applyFont="1"/>
    <xf numFmtId="0" fontId="35" fillId="0" borderId="0" xfId="0" applyFont="1" applyProtection="1">
      <protection locked="0"/>
    </xf>
    <xf numFmtId="3" fontId="35" fillId="0" borderId="0" xfId="0" applyNumberFormat="1" applyFont="1" applyProtection="1">
      <protection locked="0"/>
    </xf>
    <xf numFmtId="0" fontId="34" fillId="0" borderId="0" xfId="0" applyFont="1" applyProtection="1">
      <protection locked="0"/>
    </xf>
    <xf numFmtId="10" fontId="34" fillId="0" borderId="8" xfId="0" applyNumberFormat="1" applyFont="1" applyBorder="1"/>
    <xf numFmtId="0" fontId="34" fillId="0" borderId="8" xfId="0" applyFont="1" applyBorder="1"/>
    <xf numFmtId="0" fontId="34" fillId="0" borderId="0" xfId="0" applyFont="1" applyAlignment="1">
      <alignment horizontal="center"/>
    </xf>
    <xf numFmtId="165" fontId="36" fillId="0" borderId="0" xfId="0" applyNumberFormat="1" applyFont="1" applyAlignment="1">
      <alignment horizontal="center"/>
    </xf>
    <xf numFmtId="0" fontId="34" fillId="0" borderId="0" xfId="0" applyFont="1" applyAlignment="1">
      <alignment horizontal="left"/>
    </xf>
    <xf numFmtId="0" fontId="6" fillId="2" borderId="0" xfId="0" applyFont="1" applyFill="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0" fillId="0" borderId="10" xfId="0" applyBorder="1" applyAlignment="1">
      <alignment vertical="center"/>
    </xf>
    <xf numFmtId="0" fontId="4" fillId="2" borderId="45"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7" fillId="8" borderId="43" xfId="0" applyFont="1" applyFill="1" applyBorder="1" applyAlignment="1">
      <alignment vertical="center" wrapText="1"/>
    </xf>
    <xf numFmtId="0" fontId="7" fillId="8" borderId="26" xfId="0" applyFont="1" applyFill="1" applyBorder="1" applyAlignment="1">
      <alignment vertical="center" wrapText="1"/>
    </xf>
    <xf numFmtId="0" fontId="13" fillId="7" borderId="28" xfId="0" applyFont="1" applyFill="1" applyBorder="1" applyAlignment="1">
      <alignment horizontal="left" vertical="center" wrapText="1"/>
    </xf>
    <xf numFmtId="0" fontId="13" fillId="7" borderId="29" xfId="0" applyFont="1" applyFill="1" applyBorder="1" applyAlignment="1">
      <alignment horizontal="left" vertical="center" wrapText="1"/>
    </xf>
    <xf numFmtId="0" fontId="13" fillId="7" borderId="30" xfId="0" applyFont="1" applyFill="1" applyBorder="1" applyAlignment="1">
      <alignment horizontal="left" vertical="center" wrapText="1"/>
    </xf>
    <xf numFmtId="0" fontId="13" fillId="7" borderId="31" xfId="0" applyFont="1" applyFill="1" applyBorder="1" applyAlignment="1">
      <alignment horizontal="left" vertical="center" wrapText="1"/>
    </xf>
    <xf numFmtId="0" fontId="13" fillId="7" borderId="0" xfId="0" applyFont="1" applyFill="1" applyAlignment="1">
      <alignment horizontal="left" vertical="center" wrapText="1"/>
    </xf>
    <xf numFmtId="0" fontId="13" fillId="7" borderId="32" xfId="0" applyFont="1" applyFill="1" applyBorder="1" applyAlignment="1">
      <alignment horizontal="left" vertical="center" wrapText="1"/>
    </xf>
    <xf numFmtId="0" fontId="13" fillId="7" borderId="33" xfId="0" applyFont="1" applyFill="1" applyBorder="1" applyAlignment="1">
      <alignment horizontal="left" vertical="center" wrapText="1"/>
    </xf>
    <xf numFmtId="0" fontId="13" fillId="7" borderId="34" xfId="0" applyFont="1" applyFill="1" applyBorder="1" applyAlignment="1">
      <alignment horizontal="left" vertical="center" wrapText="1"/>
    </xf>
    <xf numFmtId="0" fontId="13" fillId="7" borderId="35" xfId="0" applyFont="1" applyFill="1" applyBorder="1" applyAlignment="1">
      <alignment horizontal="left" vertical="center" wrapText="1"/>
    </xf>
    <xf numFmtId="0" fontId="0" fillId="8" borderId="27" xfId="0" applyFill="1" applyBorder="1" applyAlignment="1">
      <alignment horizontal="left" vertical="center" wrapText="1"/>
    </xf>
    <xf numFmtId="0" fontId="0" fillId="8" borderId="26" xfId="0" applyFill="1" applyBorder="1" applyAlignment="1">
      <alignment horizontal="left" vertical="center" wrapText="1"/>
    </xf>
    <xf numFmtId="0" fontId="0" fillId="7" borderId="38" xfId="0" applyFill="1" applyBorder="1" applyAlignment="1">
      <alignment horizontal="left" vertical="center" wrapText="1"/>
    </xf>
    <xf numFmtId="0" fontId="0" fillId="7" borderId="30" xfId="0" applyFill="1" applyBorder="1" applyAlignment="1">
      <alignment horizontal="left" vertical="center" wrapText="1"/>
    </xf>
    <xf numFmtId="0" fontId="7" fillId="8" borderId="38" xfId="0" applyFont="1" applyFill="1" applyBorder="1" applyAlignment="1">
      <alignment horizontal="left" vertical="center" wrapText="1"/>
    </xf>
    <xf numFmtId="0" fontId="7" fillId="8" borderId="30" xfId="0" applyFont="1" applyFill="1" applyBorder="1" applyAlignment="1">
      <alignment horizontal="left" vertical="center" wrapText="1"/>
    </xf>
    <xf numFmtId="0" fontId="7" fillId="7" borderId="38"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27" fillId="7" borderId="40" xfId="0" applyFont="1" applyFill="1" applyBorder="1" applyAlignment="1">
      <alignment horizontal="center" vertical="top" wrapText="1"/>
    </xf>
    <xf numFmtId="0" fontId="27" fillId="7" borderId="42" xfId="0" applyFont="1" applyFill="1" applyBorder="1" applyAlignment="1">
      <alignment horizontal="center" vertical="top" wrapText="1"/>
    </xf>
    <xf numFmtId="0" fontId="27" fillId="8" borderId="40" xfId="0" applyFont="1" applyFill="1" applyBorder="1" applyAlignment="1">
      <alignment horizontal="center" vertical="top" wrapText="1"/>
    </xf>
    <xf numFmtId="0" fontId="27" fillId="8" borderId="41" xfId="0" applyFont="1" applyFill="1" applyBorder="1" applyAlignment="1">
      <alignment horizontal="center" vertical="top" wrapText="1"/>
    </xf>
    <xf numFmtId="0" fontId="27" fillId="8" borderId="42" xfId="0" applyFont="1" applyFill="1" applyBorder="1" applyAlignment="1">
      <alignment horizontal="center" vertical="top" wrapText="1"/>
    </xf>
    <xf numFmtId="0" fontId="13" fillId="7" borderId="34" xfId="0" applyFont="1" applyFill="1" applyBorder="1" applyAlignment="1">
      <alignment horizontal="left" vertical="top" wrapText="1"/>
    </xf>
    <xf numFmtId="0" fontId="13" fillId="7" borderId="35" xfId="0" applyFont="1" applyFill="1" applyBorder="1" applyAlignment="1">
      <alignment horizontal="left" vertical="top" wrapText="1"/>
    </xf>
    <xf numFmtId="0" fontId="26" fillId="7" borderId="40" xfId="0" applyFont="1" applyFill="1" applyBorder="1" applyAlignment="1">
      <alignment horizontal="center" vertical="top" wrapText="1"/>
    </xf>
    <xf numFmtId="0" fontId="26" fillId="7" borderId="41" xfId="0" applyFont="1" applyFill="1" applyBorder="1" applyAlignment="1">
      <alignment horizontal="center" vertical="top" wrapText="1"/>
    </xf>
    <xf numFmtId="0" fontId="26" fillId="7" borderId="42" xfId="0" applyFont="1" applyFill="1" applyBorder="1" applyAlignment="1">
      <alignment horizontal="center" vertical="top" wrapText="1"/>
    </xf>
    <xf numFmtId="0" fontId="27" fillId="7" borderId="41" xfId="0" applyFont="1" applyFill="1" applyBorder="1" applyAlignment="1">
      <alignment horizontal="center" vertical="top" wrapText="1"/>
    </xf>
    <xf numFmtId="0" fontId="7" fillId="7" borderId="43" xfId="0" applyFont="1" applyFill="1" applyBorder="1" applyAlignment="1">
      <alignment horizontal="left" vertical="center" wrapText="1"/>
    </xf>
    <xf numFmtId="0" fontId="7" fillId="7" borderId="26" xfId="0" applyFont="1" applyFill="1" applyBorder="1" applyAlignment="1">
      <alignment horizontal="left" vertical="center" wrapText="1"/>
    </xf>
    <xf numFmtId="0" fontId="27" fillId="8" borderId="28" xfId="0" applyFont="1" applyFill="1" applyBorder="1" applyAlignment="1">
      <alignment horizontal="center" vertical="top" wrapText="1"/>
    </xf>
    <xf numFmtId="0" fontId="27" fillId="8" borderId="31" xfId="0" applyFont="1" applyFill="1" applyBorder="1" applyAlignment="1">
      <alignment horizontal="center" vertical="top" wrapText="1"/>
    </xf>
    <xf numFmtId="0" fontId="27" fillId="8" borderId="33" xfId="0" applyFont="1" applyFill="1" applyBorder="1" applyAlignment="1">
      <alignment horizontal="center" vertical="top" wrapText="1"/>
    </xf>
    <xf numFmtId="0" fontId="13" fillId="7" borderId="25"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6" xfId="0" applyFont="1" applyFill="1" applyBorder="1" applyAlignment="1">
      <alignment horizontal="center" vertical="center" wrapText="1"/>
    </xf>
    <xf numFmtId="164" fontId="2" fillId="0" borderId="1" xfId="0" applyNumberFormat="1" applyFont="1" applyBorder="1" applyAlignment="1">
      <alignment horizontal="center"/>
    </xf>
  </cellXfs>
  <cellStyles count="4">
    <cellStyle name="Comma" xfId="2" builtinId="3"/>
    <cellStyle name="Currency" xfId="3" builtinId="4"/>
    <cellStyle name="Normal" xfId="0" builtinId="0"/>
    <cellStyle name="Normal 2" xfId="1" xr:uid="{00000000-0005-0000-0000-000003000000}"/>
  </cellStyles>
  <dxfs count="239">
    <dxf>
      <fill>
        <patternFill>
          <bgColor rgb="FF92D050"/>
        </patternFill>
      </fill>
    </dxf>
    <dxf>
      <fill>
        <patternFill>
          <bgColor rgb="FFFFFF00"/>
        </patternFill>
      </fill>
    </dxf>
    <dxf>
      <font>
        <color theme="0"/>
      </font>
      <fill>
        <patternFill patternType="solid">
          <fgColor auto="1"/>
          <bgColor rgb="FFFF0000"/>
        </patternFill>
      </fill>
    </dxf>
    <dxf>
      <font>
        <b/>
        <i val="0"/>
        <color rgb="FFFF0000"/>
      </font>
    </dxf>
    <dxf>
      <font>
        <b val="0"/>
        <i val="0"/>
        <strike val="0"/>
        <condense val="0"/>
        <extend val="0"/>
        <outline val="0"/>
        <shadow val="0"/>
        <u val="none"/>
        <vertAlign val="baseline"/>
        <sz val="11"/>
        <color theme="6" tint="-0.499984740745262"/>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alignment horizontal="right" vertical="bottom" textRotation="0" wrapText="0" relativeIndent="0" justifyLastLine="0" shrinkToFit="0" readingOrder="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color theme="6" tint="-0.499984740745262"/>
        <name val="Calibri"/>
        <scheme val="minor"/>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alignment horizontal="right" vertical="bottom" textRotation="0" wrapText="0" relativeIndent="0" justifyLastLine="0" shrinkToFit="0" readingOrder="0"/>
      <protection locked="1"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theme="1"/>
        <name val="Calibri"/>
        <scheme val="minor"/>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strike val="0"/>
        <outline val="0"/>
        <shadow val="0"/>
        <u val="none"/>
        <vertAlign val="baseline"/>
        <sz val="11"/>
        <name val="Calibri"/>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166" formatCode="_(* #,##0_);_(* \(#,##0\);_(* &quot;-&quot;??_);_(@_)"/>
    </dxf>
    <dxf>
      <font>
        <b val="0"/>
        <i val="0"/>
        <strike val="0"/>
        <condense val="0"/>
        <extend val="0"/>
        <outline val="0"/>
        <shadow val="0"/>
        <u val="none"/>
        <vertAlign val="baseline"/>
        <sz val="11"/>
        <color auto="1"/>
        <name val="Calibri"/>
        <scheme val="none"/>
      </font>
      <numFmt numFmtId="0" formatCode="General"/>
      <protection locked="0" hidden="0"/>
    </dxf>
    <dxf>
      <font>
        <strike val="0"/>
        <outline val="0"/>
        <shadow val="0"/>
        <u val="none"/>
        <vertAlign val="baseline"/>
        <sz val="11"/>
        <color theme="6" tint="-0.499984740745262"/>
        <name val="Calibri"/>
        <scheme val="minor"/>
      </font>
      <numFmt numFmtId="166" formatCode="_(* #,##0_);_(* \(#,##0\);_(* &quot;-&quot;??_);_(@_)"/>
    </dxf>
    <dxf>
      <border>
        <bottom style="thin">
          <color theme="4" tint="0.59999389629810485"/>
        </bottom>
        <vertical/>
        <horizontal/>
      </border>
    </dxf>
    <dxf>
      <font>
        <b val="0"/>
        <i val="0"/>
        <strike val="0"/>
        <condense val="0"/>
        <extend val="0"/>
        <outline val="0"/>
        <shadow val="0"/>
        <u val="none"/>
        <vertAlign val="baseline"/>
        <sz val="11"/>
        <color theme="3" tint="-0.249977111117893"/>
        <name val="Calibri"/>
        <scheme val="minor"/>
      </font>
      <fill>
        <patternFill patternType="solid">
          <fgColor indexed="64"/>
          <bgColor theme="3" tint="-0.249977111117893"/>
        </patternFill>
      </fill>
      <alignment horizontal="center" vertical="center" textRotation="0" wrapText="1" relativeIndent="0" justifyLastLine="0" shrinkToFit="0" readingOrder="0"/>
      <border diagonalUp="0" diagonalDown="0">
        <left style="thin">
          <color theme="4" tint="0.59999389629810485"/>
        </left>
        <right style="thin">
          <color theme="4" tint="0.59999389629810485"/>
        </right>
        <top/>
        <bottom/>
      </border>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theme="4" tint="0.79998168889431442"/>
          <bgColor indexed="65"/>
        </patternFill>
      </fill>
      <border diagonalUp="0" diagonalDown="0" outline="0">
        <left/>
        <right style="thin">
          <color theme="4"/>
        </right>
        <top/>
        <bottom style="thin">
          <color theme="4"/>
        </bottom>
      </border>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theme="4" tint="0.79998168889431442"/>
          <bgColor indexed="65"/>
        </patternFill>
      </fill>
      <border diagonalUp="0" diagonalDown="0" outline="0">
        <left/>
        <right style="thin">
          <color theme="4"/>
        </right>
        <top/>
        <bottom style="thin">
          <color theme="4"/>
        </bottom>
      </border>
    </dxf>
    <dxf>
      <font>
        <b val="0"/>
        <i val="0"/>
        <strike val="0"/>
        <condense val="0"/>
        <extend val="0"/>
        <outline val="0"/>
        <shadow val="0"/>
        <u val="none"/>
        <vertAlign val="baseline"/>
        <sz val="11"/>
        <color theme="6" tint="-0.499984740745262"/>
        <name val="Calibri"/>
        <family val="2"/>
        <scheme val="minor"/>
      </font>
      <numFmt numFmtId="1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14" formatCode="0.0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14" formatCode="0.00%"/>
      <fill>
        <patternFill patternType="none">
          <fgColor theme="4" tint="0.79998168889431442"/>
          <bgColor indexed="65"/>
        </patternFill>
      </fill>
      <border diagonalUp="0" diagonalDown="0" outline="0">
        <left/>
        <right style="thin">
          <color theme="4"/>
        </right>
        <top/>
        <bottom style="thin">
          <color theme="4"/>
        </bottom>
      </border>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numFmt numFmtId="0" formatCode="Genera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auto="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family val="2"/>
        <scheme val="minor"/>
      </font>
      <numFmt numFmtId="3" formatCode="#,##0"/>
      <fill>
        <patternFill patternType="solid">
          <fgColor theme="4" tint="0.79998168889431442"/>
          <bgColor theme="0"/>
        </patternFill>
      </fill>
      <border diagonalUp="0" diagonalDown="0" outline="0">
        <left/>
        <right style="thin">
          <color theme="4"/>
        </right>
        <top style="double">
          <color theme="4"/>
        </top>
        <bottom style="thin">
          <color theme="4"/>
        </bottom>
      </border>
    </dxf>
    <dxf>
      <font>
        <b val="0"/>
        <i val="0"/>
        <strike val="0"/>
        <condense val="0"/>
        <extend val="0"/>
        <outline val="0"/>
        <shadow val="0"/>
        <u val="none"/>
        <vertAlign val="baseline"/>
        <sz val="11"/>
        <color theme="6" tint="-0.499984740745262"/>
        <name val="Calibri"/>
        <scheme val="minor"/>
      </font>
      <fill>
        <patternFill patternType="none">
          <fgColor indexed="64"/>
          <bgColor indexed="65"/>
        </patternFill>
      </fill>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fill>
        <patternFill patternType="none">
          <bgColor auto="1"/>
        </patternFill>
      </fill>
    </dxf>
    <dxf>
      <font>
        <b val="0"/>
        <i val="0"/>
        <strike val="0"/>
        <condense val="0"/>
        <extend val="0"/>
        <outline val="0"/>
        <shadow val="0"/>
        <u val="none"/>
        <vertAlign val="baseline"/>
        <sz val="11"/>
        <color theme="6" tint="-0.499984740745262"/>
        <name val="Calibri"/>
        <family val="2"/>
        <scheme val="minor"/>
      </font>
      <fill>
        <patternFill patternType="solid">
          <fgColor theme="4" tint="0.79998168889431442"/>
          <bgColor theme="0"/>
        </patternFill>
      </fill>
      <border diagonalUp="0" diagonalDown="0" outline="0">
        <left style="thin">
          <color theme="4"/>
        </left>
        <right style="thin">
          <color theme="4"/>
        </right>
        <top style="double">
          <color theme="4"/>
        </top>
        <bottom style="thin">
          <color theme="4"/>
        </bottom>
      </border>
    </dxf>
    <dxf>
      <font>
        <strike val="0"/>
        <outline val="0"/>
        <shadow val="0"/>
        <u val="none"/>
        <vertAlign val="baseline"/>
        <sz val="11"/>
        <color theme="6" tint="-0.499984740745262"/>
        <name val="Calibri"/>
        <scheme val="minor"/>
      </font>
      <numFmt numFmtId="0" formatCode="General"/>
      <fill>
        <patternFill patternType="none">
          <bgColor auto="1"/>
        </patternFill>
      </fill>
    </dxf>
    <dxf>
      <border>
        <top style="double">
          <color theme="4"/>
        </top>
        <vertical/>
        <horizontal/>
      </border>
    </dxf>
    <dxf>
      <font>
        <strike val="0"/>
        <outline val="0"/>
        <shadow val="0"/>
        <u val="none"/>
        <vertAlign val="baseline"/>
        <color auto="1"/>
        <name val="Calibri"/>
      </font>
      <border diagonalUp="0" diagonalDown="0">
        <left style="thin">
          <color auto="1"/>
        </left>
        <right style="thin">
          <color auto="1"/>
        </right>
        <top/>
        <bottom/>
      </border>
    </dxf>
    <dxf>
      <border outline="0">
        <top style="thin">
          <color theme="4" tint="0.59999389629810485"/>
        </top>
      </border>
    </dxf>
    <dxf>
      <fill>
        <patternFill patternType="none">
          <bgColor auto="1"/>
        </patternFill>
      </fill>
    </dxf>
    <dxf>
      <border>
        <bottom style="thin">
          <color theme="4" tint="0.59999389629810485"/>
        </bottom>
        <vertical/>
        <horizontal/>
      </border>
    </dxf>
    <dxf>
      <font>
        <b/>
        <i val="0"/>
        <strike val="0"/>
        <condense val="0"/>
        <extend val="0"/>
        <outline val="0"/>
        <shadow val="0"/>
        <u val="none"/>
        <vertAlign val="baseline"/>
        <sz val="11"/>
        <color theme="3" tint="-0.249977111117893"/>
        <name val="Calibri"/>
        <scheme val="minor"/>
      </font>
      <fill>
        <patternFill patternType="solid">
          <fgColor indexed="64"/>
          <bgColor theme="3" tint="-0.249977111117893"/>
        </patternFill>
      </fill>
      <alignment horizontal="center" vertical="center" textRotation="0" wrapText="1" relativeIndent="0" justifyLastLine="0" shrinkToFit="0" readingOrder="0"/>
      <border diagonalUp="0" diagonalDown="0">
        <left style="thin">
          <color theme="4" tint="0.59999389629810485"/>
        </left>
        <right style="thin">
          <color theme="4" tint="0.59999389629810485"/>
        </right>
        <top/>
        <bottom/>
      </border>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0000"/>
      <fill>
        <patternFill patternType="none">
          <fgColor indexed="64"/>
          <bgColor indexed="65"/>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6" tint="-0.499984740745262"/>
        <name val="Calibri"/>
        <scheme val="minor"/>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color theme="6" tint="-0.499984740745262"/>
        <name val="Calibri"/>
        <scheme val="minor"/>
      </font>
    </dxf>
    <dxf>
      <border>
        <bottom style="thin">
          <color theme="4" tint="0.39997558519241921"/>
        </bottom>
        <vertical/>
        <horizontal/>
      </border>
    </dxf>
    <dxf>
      <font>
        <b/>
        <i val="0"/>
        <strike val="0"/>
        <condense val="0"/>
        <extend val="0"/>
        <outline val="0"/>
        <shadow val="0"/>
        <u val="none"/>
        <vertAlign val="baseline"/>
        <sz val="11"/>
        <color theme="0"/>
        <name val="Calibri"/>
        <scheme val="minor"/>
      </font>
      <fill>
        <patternFill patternType="none">
          <fgColor indexed="64"/>
          <bgColor theme="3" tint="-0.249977111117893"/>
        </patternFill>
      </fill>
      <alignment horizontal="center" vertical="bottom" textRotation="0" wrapText="0" indent="0" justifyLastLine="0" shrinkToFit="0" readingOrder="0"/>
      <border diagonalUp="0" diagonalDown="0">
        <left style="thin">
          <color theme="4" tint="0.39997558519241921"/>
        </left>
        <right style="thin">
          <color theme="4" tint="0.39997558519241921"/>
        </right>
        <top/>
        <bottom/>
      </border>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1"/>
        <color theme="1"/>
        <name val="Calibri"/>
        <scheme val="minor"/>
      </font>
      <alignment horizontal="left"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relativeIndent="0" justifyLastLine="0" shrinkToFit="0" readingOrder="0"/>
      <border diagonalUp="0" diagonalDown="0" outline="0">
        <left/>
        <right/>
        <top/>
        <bottom/>
      </border>
    </dxf>
    <dxf>
      <border outline="0">
        <bottom style="thin">
          <color theme="4" tint="0.39997558519241921"/>
        </bottom>
      </border>
    </dxf>
    <dxf>
      <numFmt numFmtId="0" formatCode="General"/>
    </dxf>
    <dxf>
      <numFmt numFmtId="0" formatCode="General"/>
    </dxf>
    <dxf>
      <border outline="0">
        <top style="thin">
          <color indexed="64"/>
        </top>
      </border>
    </dxf>
    <dxf>
      <border outline="0">
        <bottom style="thin">
          <color indexed="64"/>
        </bottom>
      </border>
    </dxf>
    <dxf>
      <font>
        <b/>
      </font>
      <fill>
        <patternFill patternType="none">
          <fgColor indexed="64"/>
          <bgColor indexed="65"/>
        </patternFill>
      </fill>
      <border diagonalUp="0" diagonalDown="0" outline="0">
        <left style="thin">
          <color theme="4" tint="0.39997558519241921"/>
        </left>
        <right/>
        <top style="thin">
          <color theme="4" tint="0.39997558519241921"/>
        </top>
        <bottom style="thin">
          <color theme="4" tint="0.39997558519241921"/>
        </bottom>
      </border>
    </dxf>
    <dxf>
      <font>
        <b/>
      </font>
      <fill>
        <patternFill patternType="none">
          <fgColor indexed="64"/>
          <bgColor indexed="65"/>
        </patternFill>
      </fill>
      <border diagonalUp="0" diagonalDown="0" outline="0">
        <left/>
        <right style="thin">
          <color theme="4" tint="0.39997558519241921"/>
        </right>
        <top style="thin">
          <color theme="4" tint="0.39997558519241921"/>
        </top>
        <bottom style="thin">
          <color theme="4" tint="0.39997558519241921"/>
        </bottom>
      </border>
    </dxf>
    <dxf>
      <border outline="0">
        <top style="thin">
          <color theme="4" tint="0.59999389629810485"/>
        </top>
      </border>
    </dxf>
    <dxf>
      <border outline="0">
        <left style="thin">
          <color theme="4" tint="0.59999389629810485"/>
        </left>
        <right style="thin">
          <color theme="4" tint="0.59999389629810485"/>
        </right>
        <top style="thin">
          <color theme="4" tint="0.59999389629810485"/>
        </top>
        <bottom style="thin">
          <color theme="4" tint="0.59999389629810485"/>
        </bottom>
      </border>
    </dxf>
    <dxf>
      <font>
        <b/>
      </font>
      <fill>
        <patternFill patternType="none">
          <fgColor indexed="64"/>
          <bgColor indexed="65"/>
        </patternFill>
      </fill>
      <border diagonalUp="0" diagonalDown="0" outline="0">
        <left style="thin">
          <color theme="4" tint="0.39997558519241921"/>
        </left>
        <right style="thin">
          <color theme="4" tint="0.39997558519241921"/>
        </right>
        <top/>
        <bottom/>
      </border>
    </dxf>
    <dxf>
      <border>
        <bottom style="thin">
          <color theme="4" tint="0.39997558519241921"/>
        </bottom>
        <vertical/>
        <horizontal/>
      </border>
    </dxf>
    <dxf>
      <font>
        <b/>
      </font>
      <fill>
        <patternFill patternType="none">
          <fgColor indexed="64"/>
          <bgColor indexed="65"/>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GeneralInfo" displayName="GeneralInfo" ref="A5:B24" totalsRowShown="0" headerRowDxfId="238" dataDxfId="236" headerRowBorderDxfId="237" tableBorderDxfId="235" totalsRowBorderDxfId="234">
  <tableColumns count="2">
    <tableColumn id="1" xr3:uid="{00000000-0010-0000-0000-000001000000}" name="Contest Audited" dataDxfId="233"/>
    <tableColumn id="2" xr3:uid="{00000000-0010-0000-0000-000002000000}" name="Issue 11: Princeton School District Tax" dataDxfId="232"/>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A47:B48" totalsRowShown="0" headerRowBorderDxfId="231" tableBorderDxfId="230">
  <autoFilter ref="A47:B48" xr:uid="{00000000-0009-0000-0100-000007000000}"/>
  <tableColumns count="2">
    <tableColumn id="1" xr3:uid="{00000000-0010-0000-0100-000001000000}" name="Precinct Name" dataDxfId="229">
      <calculatedColumnFormula array="1">IF(COUNTIF(Audit[Total Differences], "&lt;&gt;0")&gt;=ROW()-ROW($A$47),INDEX(Audit[Precinct (p) - Batched by Type],SMALL(IF(Audit[Total Differences]&lt;&gt;0,ROW(Audit[Total Differences])-ROW(Audit[#Headers]),""),ROW() - ROW(Table7[#Headers]))),"END")</calculatedColumnFormula>
    </tableColumn>
    <tableColumn id="2" xr3:uid="{00000000-0010-0000-0100-000002000000}" name="Explanation" dataDxfId="228">
      <calculatedColumnFormula array="1">IF(COUNTIF(Audit[Total Differences], "&lt;&gt;0")&gt;=ROW()-ROW($A$47),INDEX(Audit[Reason For Differences],SMALL(IF(Audit[Total Differences]&lt;&gt;0,ROW(Audit[Total Differences])-ROW(Audit[#Headers]),""),ROW() - ROW(Table7[#Headers]))),"END")</calculatedColumnFormula>
    </tableColumn>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0" displayName="Table10" ref="A27:B38" headerRowCount="0" totalsRowShown="0" tableBorderDxfId="227">
  <tableColumns count="2">
    <tableColumn id="1" xr3:uid="{00000000-0010-0000-0200-000001000000}" name="Column1" headerRowDxfId="226" dataDxfId="225"/>
    <tableColumn id="2" xr3:uid="{00000000-0010-0000-0200-000002000000}" name="Column2" headerRowDxfId="224" dataDxfId="223"/>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electedPrecincts" displayName="SelectedPrecincts" ref="A2:C32" totalsRowShown="0" headerRowDxfId="222" dataDxfId="220" headerRowBorderDxfId="221">
  <tableColumns count="3">
    <tableColumn id="1" xr3:uid="{00000000-0010-0000-0300-000001000000}" name="Draw" dataDxfId="219">
      <calculatedColumnFormula>ROW() -2</calculatedColumnFormula>
    </tableColumn>
    <tableColumn id="2" xr3:uid="{00000000-0010-0000-0300-000002000000}" name="Batch Number" dataDxfId="218"/>
    <tableColumn id="3" xr3:uid="{00000000-0010-0000-0300-000003000000}" name="Batch Name" dataDxfId="217">
      <calculatedColumnFormula array="1">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calculatedColumnFormula>
    </tableColumn>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Audit" displayName="Audit" ref="A4:BN61" totalsRowCount="1" headerRowDxfId="216" dataDxfId="214" totalsRowDxfId="212" headerRowBorderDxfId="215" tableBorderDxfId="213" totalsRowBorderDxfId="211">
  <autoFilter ref="A4:BN60" xr:uid="{00000000-0009-0000-0100-000002000000}">
    <filterColumn colId="0">
      <customFilters>
        <customFilter operator="notEqual" val=" "/>
      </customFilters>
    </filterColumn>
  </autoFilter>
  <sortState xmlns:xlrd2="http://schemas.microsoft.com/office/spreadsheetml/2017/richdata2" ref="A5:AX2204">
    <sortCondition ref="B4:B2204"/>
  </sortState>
  <tableColumns count="66">
    <tableColumn id="1" xr3:uid="{00000000-0010-0000-0400-000001000000}" name="Selection - Batch picked for audit" totalsRowLabel="Total" dataDxfId="210" totalsRowDxfId="209">
      <calculatedColumnFormula>'Sampling Data'!AI5</calculatedColumnFormula>
    </tableColumn>
    <tableColumn id="2" xr3:uid="{00000000-0010-0000-0400-000002000000}" name="Precinct (p) - Batched by Type" totalsRowFunction="count" dataDxfId="208" totalsRowDxfId="207">
      <calculatedColumnFormula>'Sampling Data'!A5</calculatedColumnFormula>
    </tableColumn>
    <tableColumn id="4" xr3:uid="{00000000-0010-0000-0400-000004000000}" name="Winning Candidate" totalsRowFunction="custom" dataDxfId="206" totalsRowDxfId="205">
      <calculatedColumnFormula>'Sampling Data'!B5</calculatedColumnFormula>
      <totalsRowFormula>SUM(Audit[Winning Candidate])</totalsRowFormula>
    </tableColumn>
    <tableColumn id="3" xr3:uid="{00000000-0010-0000-0400-000003000000}" name="Losing Candidate" totalsRowFunction="custom" dataDxfId="204" totalsRowDxfId="203">
      <calculatedColumnFormula>'Sampling Data'!C5</calculatedColumnFormula>
      <totalsRowFormula>SUM(Audit[Losing Candidate])</totalsRowFormula>
    </tableColumn>
    <tableColumn id="12" xr3:uid="{00000000-0010-0000-0400-00000C000000}" name="Candidate 3" totalsRowFunction="custom" dataDxfId="202" totalsRowDxfId="201">
      <calculatedColumnFormula>'Sampling Data'!D5</calculatedColumnFormula>
      <totalsRowFormula>SUM(Audit[Candidate 3])</totalsRowFormula>
    </tableColumn>
    <tableColumn id="11" xr3:uid="{00000000-0010-0000-0400-00000B000000}" name="Candidate 4" totalsRowFunction="custom" dataDxfId="200" totalsRowDxfId="199">
      <calculatedColumnFormula>'Sampling Data'!E5</calculatedColumnFormula>
      <totalsRowFormula>SUM(Audit[Candidate 4])</totalsRowFormula>
    </tableColumn>
    <tableColumn id="10" xr3:uid="{00000000-0010-0000-0400-00000A000000}" name="Candidate 5" totalsRowFunction="custom" dataDxfId="198" totalsRowDxfId="197">
      <calculatedColumnFormula>'Sampling Data'!F5</calculatedColumnFormula>
      <totalsRowFormula>SUM(Audit[Candidate 5])</totalsRowFormula>
    </tableColumn>
    <tableColumn id="43" xr3:uid="{00000000-0010-0000-0400-00002B000000}" name="Candidate 6" totalsRowFunction="custom" dataDxfId="196" totalsRowDxfId="195">
      <calculatedColumnFormula>'Sampling Data'!G5</calculatedColumnFormula>
      <totalsRowFormula>SUM(Audit[Candidate 6])</totalsRowFormula>
    </tableColumn>
    <tableColumn id="42" xr3:uid="{00000000-0010-0000-0400-00002A000000}" name="Candidate 7" totalsRowFunction="custom" dataDxfId="194" totalsRowDxfId="193">
      <calculatedColumnFormula>'Sampling Data'!H5</calculatedColumnFormula>
      <totalsRowFormula>SUM(Audit[Candidate 7])</totalsRowFormula>
    </tableColumn>
    <tableColumn id="9" xr3:uid="{00000000-0010-0000-0400-000009000000}" name="Candidate 8" totalsRowFunction="custom" dataDxfId="192" totalsRowDxfId="191">
      <calculatedColumnFormula>'Sampling Data'!I5</calculatedColumnFormula>
      <totalsRowFormula>SUM(Audit[Candidate 8])</totalsRowFormula>
    </tableColumn>
    <tableColumn id="55" xr3:uid="{00000000-0010-0000-0400-000037000000}" name="Candidate 9" totalsRowFunction="custom" dataDxfId="190" totalsRowDxfId="189">
      <calculatedColumnFormula>'Sampling Data'!J5</calculatedColumnFormula>
      <totalsRowFormula>SUM(Audit[Candidate 9])</totalsRowFormula>
    </tableColumn>
    <tableColumn id="54" xr3:uid="{00000000-0010-0000-0400-000036000000}" name="Candidate 10" totalsRowFunction="custom" dataDxfId="188" totalsRowDxfId="187">
      <calculatedColumnFormula>'Sampling Data'!K5</calculatedColumnFormula>
      <totalsRowFormula>SUM(Audit[Candidate 10])</totalsRowFormula>
    </tableColumn>
    <tableColumn id="53" xr3:uid="{00000000-0010-0000-0400-000035000000}" name="Candidate 11" totalsRowFunction="custom" dataDxfId="186" totalsRowDxfId="185">
      <calculatedColumnFormula>'Sampling Data'!L5</calculatedColumnFormula>
      <totalsRowFormula>SUM(Audit[Candidate 11])</totalsRowFormula>
    </tableColumn>
    <tableColumn id="52" xr3:uid="{00000000-0010-0000-0400-000034000000}" name="Candidate 12" totalsRowFunction="custom" dataDxfId="184" totalsRowDxfId="183">
      <calculatedColumnFormula>'Sampling Data'!M5</calculatedColumnFormula>
      <totalsRowFormula>SUM(Audit[Candidate 12])</totalsRowFormula>
    </tableColumn>
    <tableColumn id="5" xr3:uid="{00000000-0010-0000-0400-000005000000}" name="Over Votes" totalsRowFunction="custom" dataDxfId="182" totalsRowDxfId="181">
      <calculatedColumnFormula>'Sampling Data'!N5</calculatedColumnFormula>
      <totalsRowFormula>SUM(Audit[Over Votes])</totalsRowFormula>
    </tableColumn>
    <tableColumn id="6" xr3:uid="{00000000-0010-0000-0400-000006000000}" name="Under Votes" totalsRowFunction="custom" dataDxfId="180" totalsRowDxfId="179">
      <calculatedColumnFormula>'Sampling Data'!O5</calculatedColumnFormula>
      <totalsRowFormula>SUM(Audit[Under Votes])</totalsRowFormula>
    </tableColumn>
    <tableColumn id="7" xr3:uid="{00000000-0010-0000-0400-000007000000}" name="Total" totalsRowFunction="custom" dataDxfId="178" totalsRowDxfId="177">
      <calculatedColumnFormula>'Sampling Data'!P5</calculatedColumnFormula>
      <totalsRowFormula>SUM(Audit[Total])</totalsRowFormula>
    </tableColumn>
    <tableColumn id="15" xr3:uid="{00000000-0010-0000-0400-00000F000000}" name="Times p Drawn - With Replacement" totalsRowFunction="custom" dataDxfId="176" totalsRowDxfId="175">
      <calculatedColumnFormula>'Sampling Data'!AJ5</calculatedColumnFormula>
      <totalsRowFormula>SUM(Audit[Times p Drawn - With Replacement])</totalsRowFormula>
    </tableColumn>
    <tableColumn id="17" xr3:uid="{00000000-0010-0000-0400-000011000000}" name="Audit Winning Candidate" totalsRowFunction="custom" dataDxfId="174" totalsRowDxfId="173">
      <totalsRowFormula>SUM(Audit[Audit Winning Candidate])</totalsRowFormula>
    </tableColumn>
    <tableColumn id="16" xr3:uid="{00000000-0010-0000-0400-000010000000}" name="Audit Losing Candidate" totalsRowFunction="custom" dataDxfId="172" totalsRowDxfId="171">
      <totalsRowFormula>SUM(Audit[Audit Losing Candidate])</totalsRowFormula>
    </tableColumn>
    <tableColumn id="33" xr3:uid="{00000000-0010-0000-0400-000021000000}" name="Audit Candidate 3" totalsRowFunction="custom" dataDxfId="170" totalsRowDxfId="169">
      <totalsRowFormula>SUM(Audit[Audit Candidate 3])</totalsRowFormula>
    </tableColumn>
    <tableColumn id="32" xr3:uid="{00000000-0010-0000-0400-000020000000}" name="Audit Candidate 4" totalsRowFunction="custom" dataDxfId="168" totalsRowDxfId="167">
      <totalsRowFormula>SUM(Audit[Audit Candidate 4])</totalsRowFormula>
    </tableColumn>
    <tableColumn id="14" xr3:uid="{00000000-0010-0000-0400-00000E000000}" name="Audit Candidate 5" totalsRowFunction="custom" dataDxfId="166" totalsRowDxfId="165">
      <totalsRowFormula>SUM(Audit[Audit Candidate 5])</totalsRowFormula>
    </tableColumn>
    <tableColumn id="45" xr3:uid="{00000000-0010-0000-0400-00002D000000}" name="Audit Candidate 6" totalsRowFunction="custom" dataDxfId="164" totalsRowDxfId="163">
      <totalsRowFormula>SUM(Audit[Audit Candidate 6])</totalsRowFormula>
    </tableColumn>
    <tableColumn id="44" xr3:uid="{00000000-0010-0000-0400-00002C000000}" name="Audit Candidate 7" totalsRowFunction="custom" dataDxfId="162" totalsRowDxfId="161">
      <totalsRowFormula>SUM(Audit[Audit Candidate 7])</totalsRowFormula>
    </tableColumn>
    <tableColumn id="13" xr3:uid="{00000000-0010-0000-0400-00000D000000}" name="Audit Candidate 8" totalsRowFunction="custom" dataDxfId="160" totalsRowDxfId="159">
      <totalsRowFormula>SUM(Audit[Audit Candidate 8])</totalsRowFormula>
    </tableColumn>
    <tableColumn id="59" xr3:uid="{00000000-0010-0000-0400-00003B000000}" name="Audit Candidate 9" totalsRowFunction="custom" dataDxfId="158" totalsRowDxfId="157">
      <totalsRowFormula>SUM(Audit[Audit Candidate 9])</totalsRowFormula>
    </tableColumn>
    <tableColumn id="58" xr3:uid="{00000000-0010-0000-0400-00003A000000}" name="Audit Candidate 10" totalsRowFunction="custom" dataDxfId="156" totalsRowDxfId="155">
      <totalsRowFormula>SUM(Audit[Audit Candidate 10])</totalsRowFormula>
    </tableColumn>
    <tableColumn id="57" xr3:uid="{00000000-0010-0000-0400-000039000000}" name="Audit Candidate 11" totalsRowFunction="custom" dataDxfId="154" totalsRowDxfId="153">
      <totalsRowFormula>SUM(Audit[Audit Candidate 11])</totalsRowFormula>
    </tableColumn>
    <tableColumn id="56" xr3:uid="{00000000-0010-0000-0400-000038000000}" name="Audit Candidate 12" totalsRowFunction="custom" dataDxfId="152" totalsRowDxfId="151">
      <totalsRowFormula>SUM(Audit[Audit Candidate 12])</totalsRowFormula>
    </tableColumn>
    <tableColumn id="19" xr3:uid="{00000000-0010-0000-0400-000013000000}" name="Difference Winner" totalsRowFunction="custom" dataDxfId="150" totalsRowDxfId="149">
      <calculatedColumnFormula>IF(NOT(ISBLANK(Audit[[#This Row],[Audit Winning Candidate]])), Audit[[#This Row],[Audit Winning Candidate]]-Audit[[#This Row],[Winning Candidate]], "")</calculatedColumnFormula>
      <totalsRowFormula>SUM(Audit[Difference Winner])</totalsRowFormula>
    </tableColumn>
    <tableColumn id="18" xr3:uid="{00000000-0010-0000-0400-000012000000}" name="Difference Loser" totalsRowFunction="custom" dataDxfId="148" totalsRowDxfId="147">
      <calculatedColumnFormula>IF(NOT(ISBLANK(Audit[[#This Row],[Audit Losing Candidate]])), Audit[[#This Row],[Audit Losing Candidate]]-Audit[[#This Row],[Losing Candidate]], "")</calculatedColumnFormula>
      <totalsRowFormula>SUM(Audit[Difference Loser])</totalsRowFormula>
    </tableColumn>
    <tableColumn id="41" xr3:uid="{00000000-0010-0000-0400-000029000000}" name="Difference Candidate 3" totalsRowFunction="custom" dataDxfId="146" totalsRowDxfId="145">
      <calculatedColumnFormula>IF(NOT(ISBLANK(Audit[[#This Row],[Audit Candidate 3]])), Audit[[#This Row],[Audit Candidate 3]]-Audit[[#This Row],[Candidate 3]], "")</calculatedColumnFormula>
      <totalsRowFormula>SUM(Audit[Difference Candidate 3])</totalsRowFormula>
    </tableColumn>
    <tableColumn id="40" xr3:uid="{00000000-0010-0000-0400-000028000000}" name="Difference Candidate 4" totalsRowFunction="custom" dataDxfId="144" totalsRowDxfId="143">
      <calculatedColumnFormula>IF(NOT(ISBLANK(Audit[[#This Row],[Audit Candidate 4]])),Audit[[#This Row],[Audit Candidate 4]]-Audit[[#This Row],[Candidate 4]], "")</calculatedColumnFormula>
      <totalsRowFormula>SUM(Audit[Difference Candidate 4])</totalsRowFormula>
    </tableColumn>
    <tableColumn id="39" xr3:uid="{00000000-0010-0000-0400-000027000000}" name="Difference Candidate 5" totalsRowFunction="custom" dataDxfId="142" totalsRowDxfId="141">
      <calculatedColumnFormula>IF(NOT(ISBLANK(Audit[[#This Row],[Audit Candidate 5]])), Audit[[#This Row],[Audit Candidate 5]]-Audit[[#This Row],[Candidate 5]], "")</calculatedColumnFormula>
      <totalsRowFormula>SUM(Audit[Difference Candidate 5])</totalsRowFormula>
    </tableColumn>
    <tableColumn id="49" xr3:uid="{00000000-0010-0000-0400-000031000000}" name="Difference Candidate 6" totalsRowFunction="custom" dataDxfId="140" totalsRowDxfId="139">
      <calculatedColumnFormula>IF(NOT(ISBLANK(Audit[[#This Row],[Audit Candidate 6]])), Audit[[#This Row],[Audit Candidate 6]]-Audit[[#This Row],[Candidate 6]], "")</calculatedColumnFormula>
      <totalsRowFormula>SUM(Audit[Difference Candidate 6])</totalsRowFormula>
    </tableColumn>
    <tableColumn id="48" xr3:uid="{00000000-0010-0000-0400-000030000000}" name="Difference Candidate 7" totalsRowFunction="custom" dataDxfId="138" totalsRowDxfId="137">
      <calculatedColumnFormula>IF(NOT(ISBLANK(Audit[[#This Row],[Audit Candidate 7]])), Audit[[#This Row],[Audit Candidate 7]]-Audit[[#This Row],[Candidate 7]], "")</calculatedColumnFormula>
      <totalsRowFormula>SUM(Audit[Difference Candidate 7])</totalsRowFormula>
    </tableColumn>
    <tableColumn id="38" xr3:uid="{00000000-0010-0000-0400-000026000000}" name="Difference Candidate 8" totalsRowFunction="custom" dataDxfId="136" totalsRowDxfId="135">
      <calculatedColumnFormula>IF(NOT(ISBLANK(Audit[[#This Row],[Audit Candidate 8]])), Audit[[#This Row],[Audit Candidate 8]]-Audit[[#This Row],[Candidate 8]], "")</calculatedColumnFormula>
      <totalsRowFormula>SUM(Audit[Difference Candidate 8])</totalsRowFormula>
    </tableColumn>
    <tableColumn id="64" xr3:uid="{00000000-0010-0000-0400-000040000000}" name="Difference Candidate 9" totalsRowFunction="custom" dataDxfId="134" totalsRowDxfId="133">
      <calculatedColumnFormula>IF(NOT(ISBLANK(Audit[[#This Row],[Audit Candidate 9]])), Audit[[#This Row],[Audit Candidate 9]]-Audit[[#This Row],[Candidate 9]], "")</calculatedColumnFormula>
      <totalsRowFormula>SUM(Audit[Difference Candidate 9])</totalsRowFormula>
    </tableColumn>
    <tableColumn id="63" xr3:uid="{00000000-0010-0000-0400-00003F000000}" name="Difference Candidate 10" totalsRowFunction="custom" dataDxfId="132" totalsRowDxfId="131">
      <calculatedColumnFormula>IF(NOT(ISBLANK(Audit[[#This Row],[Audit Candidate 10]])), Audit[[#This Row],[Audit Candidate 10]]-Audit[[#This Row],[Candidate 10]], "")</calculatedColumnFormula>
      <totalsRowFormula>SUM(Audit[Difference Candidate 10])</totalsRowFormula>
    </tableColumn>
    <tableColumn id="62" xr3:uid="{00000000-0010-0000-0400-00003E000000}" name="Difference Candidate 11" totalsRowFunction="custom" dataDxfId="130" totalsRowDxfId="129">
      <calculatedColumnFormula>IF(NOT(ISBLANK(Audit[[#This Row],[Audit Candidate 11]])), Audit[[#This Row],[Audit Candidate 11]]-Audit[[#This Row],[Candidate 11]], "")</calculatedColumnFormula>
      <totalsRowFormula>SUM(Audit[Difference Candidate 11])</totalsRowFormula>
    </tableColumn>
    <tableColumn id="61" xr3:uid="{00000000-0010-0000-0400-00003D000000}" name="Difference Candidate 12" totalsRowFunction="custom" dataDxfId="128" totalsRowDxfId="127">
      <calculatedColumnFormula>IF(NOT(ISBLANK(Audit[[#This Row],[Audit Candidate 12]])), Audit[[#This Row],[Audit Candidate 12]]-Audit[[#This Row],[Candidate 12]], "")</calculatedColumnFormula>
      <totalsRowFormula>SUM(Audit[Difference Candidate 12])</totalsRowFormula>
    </tableColumn>
    <tableColumn id="20" xr3:uid="{00000000-0010-0000-0400-000014000000}" name="Max Differences" totalsRowFunction="custom" dataDxfId="126" totalsRowDxfId="125">
      <calculatedColumnFormula>SUMIF(Audit[[#This Row],[Difference Winner]:[Difference Candidate 12]], "&gt;0")</calculatedColumnFormula>
      <totalsRowFormula>SUM(Audit[Max Differences])</totalsRowFormula>
    </tableColumn>
    <tableColumn id="21" xr3:uid="{00000000-0010-0000-0400-000015000000}" name="Canceled Differences" totalsRowFunction="custom" dataDxfId="124" totalsRowDxfId="123">
      <calculatedColumnFormula>SUM(Audit[[#This Row],[Difference Winner]:[Difference Candidate 12]])</calculatedColumnFormula>
      <totalsRowFormula>SUM(Audit[Canceled Differences])</totalsRowFormula>
    </tableColumn>
    <tableColumn id="22" xr3:uid="{00000000-0010-0000-0400-000016000000}" name="Total Differences" totalsRowFunction="custom" dataDxfId="122" totalsRowDxfId="121">
      <calculatedColumnFormula>IF(Audit[[#This Row],[Times p Drawn - With Replacement]]&gt;0, IF(Audit[[#This Row],[Canceled Differences]]&lt;0, Audit[[#This Row],[Max Differences]]+ABS(Audit[[#This Row],[Canceled Differences]]), Audit[[#This Row],[Max Differences]]), 0)</calculatedColumnFormula>
      <totalsRowFormula>SUM(Audit[Total Differences])</totalsRowFormula>
    </tableColumn>
    <tableColumn id="8" xr3:uid="{00000000-0010-0000-0400-000008000000}" name="Error Bound (up) - Max. possible relative overstatement" totalsRowFunction="custom" dataDxfId="120" totalsRowDxfId="119">
      <calculatedColumnFormula>'Sampling Data'!AB5</calculatedColumnFormula>
      <totalsRowFormula>SUM(Audit[Error Bound (up) - Max. possible relative overstatement])</totalsRowFormula>
    </tableColumn>
    <tableColumn id="23" xr3:uid="{00000000-0010-0000-0400-000017000000}" name="Relative Error (ep) - Error Rate as a proportion of the margin of victory for Winning Candidate" totalsRowFunction="custom" dataDxfId="118" totalsRowDxfId="117">
      <calculatedColumnFormula>IF(
      SUM(Audit[[#This Row],[Audit Losing Candidate]:[Audit Candidate 12]])
      &lt;&gt;0,
      (Audit[[#This Row],[Winning Candidate]]-Audit[[#This Row],[Losing Candidate]]-(Audit[[#This Row],[Audit Winning Candidate]]-Audit[[#This Row],[Audit Losing Candidate]]))/(Audit[[#Totals],[Winning Candidate]]-Audit[[#Totals],[Losing Candidate]]),
      0
)</calculatedColumnFormula>
      <totalsRowFormula>SUM(Audit[Relative Error (ep) - Error Rate as a proportion of the margin of victory for Winning Candidate])</totalsRowFormula>
    </tableColumn>
    <tableColumn id="37" xr3:uid="{00000000-0010-0000-0400-000025000000}" name="Relative Error (ep) - Error Rate as a proportion of the margin of victory for  Candidate 3" totalsRowFunction="custom" dataDxfId="116" totalsRowDxfId="115">
      <calculatedColumnFormula>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calculatedColumnFormula>
      <totalsRowFormula>SUM(Audit[Relative Error (ep) - Error Rate as a proportion of the margin of victory for  Candidate 3])</totalsRowFormula>
    </tableColumn>
    <tableColumn id="36" xr3:uid="{00000000-0010-0000-0400-000024000000}" name="Relative Error (ep) - Error Rate as a proportion of the margin of victory for  Candidate 4" totalsRowFunction="custom" dataDxfId="114" totalsRowDxfId="113">
      <calculatedColumnFormula>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calculatedColumnFormula>
      <totalsRowFormula>SUM(Audit[Relative Error (ep) - Error Rate as a proportion of the margin of victory for  Candidate 4])</totalsRowFormula>
    </tableColumn>
    <tableColumn id="35" xr3:uid="{00000000-0010-0000-0400-000023000000}" name="Relative Error (ep) - Error Rate as a proportion of the margin of victory for  Candidate 5" totalsRowFunction="custom" dataDxfId="112" totalsRowDxfId="111">
      <calculatedColumnFormula>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calculatedColumnFormula>
      <totalsRowFormula>SUM(Audit[Relative Error (ep) - Error Rate as a proportion of the margin of victory for  Candidate 5])</totalsRowFormula>
    </tableColumn>
    <tableColumn id="51" xr3:uid="{00000000-0010-0000-0400-000033000000}" name="Relative Error (ep) - Error Rate as a proportion of the margin of victory for  Candidate 6" totalsRowFunction="custom" dataDxfId="110" totalsRowDxfId="109">
      <calculatedColumnFormula>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calculatedColumnFormula>
      <totalsRowFormula>SUM(Audit[Relative Error (ep) - Error Rate as a proportion of the margin of victory for  Candidate 6])</totalsRowFormula>
    </tableColumn>
    <tableColumn id="50" xr3:uid="{00000000-0010-0000-0400-000032000000}" name="Relative Error (ep) - Error Rate as a proportion of the margin of victory for  Candidate 7" totalsRowFunction="custom" dataDxfId="108" totalsRowDxfId="107">
      <calculatedColumnFormula>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calculatedColumnFormula>
      <totalsRowFormula>SUM(Audit[Relative Error (ep) - Error Rate as a proportion of the margin of victory for  Candidate 7])</totalsRowFormula>
    </tableColumn>
    <tableColumn id="34" xr3:uid="{00000000-0010-0000-0400-000022000000}" name="Relative Error (ep) - Error Rate as a proportion of the margin of victory for  Candidate 8" totalsRowFunction="custom" dataDxfId="106" totalsRowDxfId="105">
      <calculatedColumnFormula>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calculatedColumnFormula>
      <totalsRowFormula>SUM(Audit[Relative Error (ep) - Error Rate as a proportion of the margin of victory for  Candidate 8])</totalsRowFormula>
    </tableColumn>
    <tableColumn id="66" xr3:uid="{00000000-0010-0000-0400-000042000000}" name="Relative Error (ep) - Error Rate as a proportion of the margin of victory for  Candidate 9" totalsRowFunction="custom" dataDxfId="104" totalsRowDxfId="103">
      <calculatedColumnFormula>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calculatedColumnFormula>
      <totalsRowFormula>SUM(Audit[Relative Error (ep) - Error Rate as a proportion of the margin of victory for  Candidate 9])</totalsRowFormula>
    </tableColumn>
    <tableColumn id="65" xr3:uid="{00000000-0010-0000-0400-000041000000}" name="Relative Error (ep) - Error Rate as a proportion of the margin of victory for  Candidate 10" totalsRowFunction="custom" dataDxfId="102" totalsRowDxfId="101">
      <calculatedColumnFormula>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calculatedColumnFormula>
      <totalsRowFormula>SUM(Audit[Relative Error (ep) - Error Rate as a proportion of the margin of victory for  Candidate 10])</totalsRowFormula>
    </tableColumn>
    <tableColumn id="60" xr3:uid="{00000000-0010-0000-0400-00003C000000}" name="Relative Error (ep) - Error Rate as a proportion of the margin of victory for  Candidate 11" totalsRowFunction="custom" dataDxfId="100" totalsRowDxfId="99">
      <calculatedColumnFormula>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calculatedColumnFormula>
      <totalsRowFormula>SUM(Audit[Relative Error (ep) - Error Rate as a proportion of the margin of victory for  Candidate 11])</totalsRowFormula>
    </tableColumn>
    <tableColumn id="47" xr3:uid="{00000000-0010-0000-0400-00002F000000}" name="Relative Error (ep) - Error Rate as a proportion of the margin of victory for  Candidate 12" totalsRowFunction="custom" dataDxfId="98" totalsRowDxfId="97">
      <calculatedColumnFormula>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calculatedColumnFormula>
      <totalsRowFormula>SUM(Audit[Relative Error (ep) - Error Rate as a proportion of the margin of victory for  Candidate 12])</totalsRowFormula>
    </tableColumn>
    <tableColumn id="46" xr3:uid="{00000000-0010-0000-0400-00002E000000}" name="Max Relative Error (ep)" totalsRowFunction="custom" dataDxfId="96" totalsRowDxfId="95">
      <calculatedColumnFormula>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calculatedColumnFormula>
      <totalsRowFormula>SUM(Audit[Max Relative Error (ep)])</totalsRowFormula>
    </tableColumn>
    <tableColumn id="24" xr3:uid="{00000000-0010-0000-0400-000018000000}" name="Taint (t) - Error rate as a proportion of the max possible relative overstatement" totalsRowFunction="custom" dataDxfId="94" totalsRowDxfId="93">
      <calculatedColumnFormula>IF(Audit[[#This Row],[Max Relative Error (ep)]] = 0, 0, Audit[[#This Row],[Max Relative Error (ep)]]/Audit[[#This Row],[Error Bound (up) - Max. possible relative overstatement]])</calculatedColumnFormula>
      <totalsRowFormula>SUM(Audit[Taint (t) - Error rate as a proportion of the max possible relative overstatement])</totalsRowFormula>
    </tableColumn>
    <tableColumn id="25" xr3:uid="{00000000-0010-0000-0400-000019000000}" name="KM Factor" totalsRowFunction="custom" dataDxfId="92" totalsRowDxfId="91">
      <calculatedColumnFormula>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calculatedColumnFormula>
      <totalsRowFormula>SUM(Audit[KM Factor])</totalsRowFormula>
    </tableColumn>
    <tableColumn id="26" xr3:uid="{00000000-0010-0000-0400-00001A000000}" name="Net KM Factor - KM Factor taking into account pcts audited multiple times" totalsRowFunction="custom" dataDxfId="90" totalsRowDxfId="89">
      <calculatedColumnFormula>IF(ISERR(POWER(BH5,R5)), 0, POWER(BH5,R5))</calculatedColumnFormula>
      <totalsRowFormula>SUM(Audit[Net KM Factor - KM Factor taking into account pcts audited multiple times])</totalsRowFormula>
    </tableColumn>
    <tableColumn id="27" xr3:uid="{00000000-0010-0000-0400-00001B000000}" name="K-M P Value" totalsRowFunction="custom" dataDxfId="88" totalsRowDxfId="87">
      <calculatedColumnFormula>PRODUCT($BI$5:BI5)</calculatedColumnFormula>
      <totalsRowFormula>SUM(Audit[K-M P Value])</totalsRowFormula>
    </tableColumn>
    <tableColumn id="30" xr3:uid="{00000000-0010-0000-0400-00001E000000}" name="Confidence Level" totalsRowFunction="max" dataDxfId="86" totalsRowDxfId="85">
      <calculatedColumnFormula>1 - Audit[[#This Row],[K-M P Value]]</calculatedColumnFormula>
    </tableColumn>
    <tableColumn id="28" xr3:uid="{00000000-0010-0000-0400-00001C000000}" name="Status - Continue or stop audit" dataDxfId="84" totalsRowDxfId="83">
      <calculatedColumnFormula>IF(Audit[[#This Row],[K-M P Value]]&gt;1-'General Info'!$B$12,"Continue", "Stop")</calculatedColumnFormula>
    </tableColumn>
    <tableColumn id="29" xr3:uid="{00000000-0010-0000-0400-00001D000000}" name="Process Batch" totalsRowFunction="count" dataDxfId="82" totalsRowDxfId="81">
      <calculatedColumnFormula>IF(Audit[[#This Row],[Status - Continue or stop audit]] = "Continue", TRUE, IF(BL4 = "Continue", TRUE, FALSE))</calculatedColumnFormula>
    </tableColumn>
    <tableColumn id="31" xr3:uid="{00000000-0010-0000-0400-00001F000000}" name="Reason For Differences" dataDxfId="80" totalsRowDxfId="79"/>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SamplingData" displayName="SamplingData" ref="A4:AJ61" totalsRowCount="1" headerRowDxfId="78" totalsRowDxfId="76" headerRowBorderDxfId="77" totalsRowCellStyle="Comma">
  <autoFilter ref="A4:AJ60" xr:uid="{00000000-0009-0000-0100-000001000000}"/>
  <sortState xmlns:xlrd2="http://schemas.microsoft.com/office/spreadsheetml/2017/richdata2" ref="A2:W1085">
    <sortCondition ref="A1:A1085"/>
  </sortState>
  <tableColumns count="36">
    <tableColumn id="2" xr3:uid="{00000000-0010-0000-0500-000002000000}" name="Batch by Type (p)" totalsRowFunction="count" dataDxfId="75" totalsRowDxfId="74" dataCellStyle="Comma"/>
    <tableColumn id="6" xr3:uid="{00000000-0010-0000-0500-000006000000}" name="Winning Candidate" totalsRowFunction="custom" dataDxfId="73" totalsRowDxfId="72" dataCellStyle="Comma">
      <totalsRowFormula>SUM(SamplingData[Winning Candidate])</totalsRowFormula>
    </tableColumn>
    <tableColumn id="5" xr3:uid="{00000000-0010-0000-0500-000005000000}" name="Losing Candidate" totalsRowFunction="custom" dataDxfId="71" totalsRowDxfId="70" dataCellStyle="Comma">
      <totalsRowFormula>SUM(SamplingData[Losing Candidate])</totalsRowFormula>
    </tableColumn>
    <tableColumn id="18" xr3:uid="{00000000-0010-0000-0500-000012000000}" name="Candidate 3" totalsRowFunction="custom" dataDxfId="69" totalsRowDxfId="68" dataCellStyle="Comma">
      <totalsRowFormula>SUM(SamplingData[Candidate 3])</totalsRowFormula>
    </tableColumn>
    <tableColumn id="17" xr3:uid="{00000000-0010-0000-0500-000011000000}" name="Candidate 4" totalsRowFunction="custom" dataDxfId="67" totalsRowDxfId="66" dataCellStyle="Comma">
      <totalsRowFormula>SUM(SamplingData[Candidate 4])</totalsRowFormula>
    </tableColumn>
    <tableColumn id="16" xr3:uid="{00000000-0010-0000-0500-000010000000}" name="Candidate 5" totalsRowFunction="custom" dataDxfId="65" totalsRowDxfId="64" dataCellStyle="Comma">
      <totalsRowFormula>SUM(SamplingData[Candidate 5])</totalsRowFormula>
    </tableColumn>
    <tableColumn id="25" xr3:uid="{00000000-0010-0000-0500-000019000000}" name="Candidate 6" totalsRowFunction="sum" dataDxfId="63" totalsRowDxfId="62" dataCellStyle="Comma"/>
    <tableColumn id="1" xr3:uid="{00000000-0010-0000-0500-000001000000}" name="Candidate 7" totalsRowFunction="sum" dataDxfId="61" totalsRowDxfId="60" dataCellStyle="Comma"/>
    <tableColumn id="3" xr3:uid="{00000000-0010-0000-0500-000003000000}" name="Candidate 8" totalsRowFunction="custom" dataDxfId="59" totalsRowDxfId="58" dataCellStyle="Comma">
      <totalsRowFormula>SUM(SamplingData[Candidate 8])</totalsRowFormula>
    </tableColumn>
    <tableColumn id="32" xr3:uid="{00000000-0010-0000-0500-000020000000}" name="Candidate 9" dataDxfId="57" totalsRowDxfId="56" dataCellStyle="Comma"/>
    <tableColumn id="31" xr3:uid="{00000000-0010-0000-0500-00001F000000}" name="Candidate 10" dataDxfId="55" totalsRowDxfId="54" dataCellStyle="Comma"/>
    <tableColumn id="30" xr3:uid="{00000000-0010-0000-0500-00001E000000}" name="Candidate 11" dataDxfId="53" totalsRowDxfId="52" dataCellStyle="Comma"/>
    <tableColumn id="29" xr3:uid="{00000000-0010-0000-0500-00001D000000}" name="Candidate 12" dataDxfId="51" totalsRowDxfId="50" dataCellStyle="Comma"/>
    <tableColumn id="7" xr3:uid="{00000000-0010-0000-0500-000007000000}" name="Over Votes" totalsRowFunction="custom" dataDxfId="49" totalsRowDxfId="48" dataCellStyle="Comma">
      <totalsRowFormula>SUM(SamplingData[Over Votes])</totalsRowFormula>
    </tableColumn>
    <tableColumn id="8" xr3:uid="{00000000-0010-0000-0500-000008000000}" name="Under Votes" totalsRowFunction="custom" dataDxfId="47" totalsRowDxfId="46" dataCellStyle="Comma">
      <totalsRowFormula>SUM(SamplingData[Under Votes])</totalsRowFormula>
    </tableColumn>
    <tableColumn id="9" xr3:uid="{00000000-0010-0000-0500-000009000000}" name="Total" totalsRowFunction="custom" dataDxfId="45" totalsRowDxfId="44" dataCellStyle="Comma">
      <calculatedColumnFormula>SUM(SamplingData[[#This Row],[Winning Candidate]:[Under Votes]])</calculatedColumnFormula>
      <totalsRowFormula>SUM(SamplingData[Total])</totalsRowFormula>
    </tableColumn>
    <tableColumn id="10" xr3:uid="{00000000-0010-0000-0500-00000A000000}" name="Error Bound (up) - Max. possible relative overstatement - Losing Candidate" totalsRowFunction="custom" dataDxfId="43" totalsRowDxfId="42" dataCellStyle="Comma">
      <calculatedColumnFormula>IF(AND(SamplingData[[#This Row],[Total]]&lt;&gt; 0, NOT(ISBLANK(SamplingData[[#This Row],[Losing Candidate]]))),(SamplingData[[#This Row],[Total]]+SamplingData[[#This Row],[Winning Candidate]]-SamplingData[[#This Row],[Losing Candidate]])/(SamplingData[[#Totals],[Winning Candidate]]-SamplingData[[#Totals],[Losing Candidate]]), 0)</calculatedColumnFormula>
      <totalsRowFormula>SUM(SamplingData[Error Bound (up) - Max. possible relative overstatement - Losing Candidate])</totalsRowFormula>
    </tableColumn>
    <tableColumn id="22" xr3:uid="{00000000-0010-0000-0500-000016000000}" name="Error Bound (up) - Max. possible relative overstatement - Candidate 3" totalsRowFunction="custom" dataDxfId="41" totalsRowDxfId="40" dataCellStyle="Comma">
      <calculatedColumnFormula>IF(AND(SamplingData[[#This Row],[Total]]&lt;&gt; 0, NOT(ISBLANK(SamplingData[[#This Row],[Candidate 3]]))),(SamplingData[[#This Row],[Total]]+SamplingData[[#This Row],[Winning Candidate]]-SamplingData[[#This Row],[Candidate 3]])/(SamplingData[[#Totals],[Winning Candidate]]-SamplingData[[#Totals],[Candidate 3]]), 0)</calculatedColumnFormula>
      <totalsRowFormula>SUM(SamplingData[Error Bound (up) - Max. possible relative overstatement - Candidate 3])</totalsRowFormula>
    </tableColumn>
    <tableColumn id="21" xr3:uid="{00000000-0010-0000-0500-000015000000}" name="Error Bound (up) - Max. possible relative overstatement - Candidate 4" totalsRowFunction="custom" dataDxfId="39" totalsRowDxfId="38" dataCellStyle="Comma">
      <calculatedColumnFormula>IF(AND(SamplingData[[#This Row],[Total]]&lt;&gt; 0, NOT(ISBLANK(SamplingData[[#This Row],[Candidate 4]]))),(SamplingData[[#This Row],[Total]]+SamplingData[[#This Row],[Winning Candidate]]-SamplingData[[#This Row],[Candidate 4]])/(SamplingData[[#Totals],[Winning Candidate]]-SamplingData[[#Totals],[Candidate 4]]), 0)</calculatedColumnFormula>
      <totalsRowFormula>SUM(SamplingData[Error Bound (up) - Max. possible relative overstatement - Candidate 4])</totalsRowFormula>
    </tableColumn>
    <tableColumn id="20" xr3:uid="{00000000-0010-0000-0500-000014000000}" name="Error Bound (up) - Max. possible relative overstatement - Candidate 5" totalsRowFunction="custom" dataDxfId="37" totalsRowDxfId="36" dataCellStyle="Comma">
      <calculatedColumnFormula>IF(AND(SamplingData[[#This Row],[Total]]&lt;&gt; 0, NOT(ISBLANK(SamplingData[[#This Row],[Candidate 5]]))),(SamplingData[[#This Row],[Total]]+SamplingData[[#This Row],[Winning Candidate]]-SamplingData[[#This Row],[Candidate 5]])/(SamplingData[[#Totals],[Winning Candidate]]-SamplingData[[#Totals],[Candidate 5]]), 0)</calculatedColumnFormula>
      <totalsRowFormula>SUM(SamplingData[Error Bound (up) - Max. possible relative overstatement - Candidate 5])</totalsRowFormula>
    </tableColumn>
    <tableColumn id="28" xr3:uid="{00000000-0010-0000-0500-00001C000000}" name="Error Bound (up) - Max. possible relative overstatement - Candidate 6" totalsRowFunction="sum" dataDxfId="35" totalsRowDxfId="34" dataCellStyle="Comma">
      <calculatedColumnFormula>IF(AND(SamplingData[[#This Row],[Total]]&lt;&gt; 0, NOT(ISBLANK(SamplingData[[#This Row],[Candidate 6]]))),(SamplingData[[#This Row],[Total]]+SamplingData[[#This Row],[Losing Candidate]]-SamplingData[[#This Row],[Candidate 6]])/(SamplingData[[#Totals],[Winning Candidate]]-SamplingData[[#Totals],[Candidate 6]]), 0)</calculatedColumnFormula>
    </tableColumn>
    <tableColumn id="27" xr3:uid="{00000000-0010-0000-0500-00001B000000}" name="Error Bound (up) - Max. possible relative overstatement - Candidate 7" totalsRowFunction="sum" dataDxfId="33" totalsRowDxfId="32" dataCellStyle="Comma">
      <calculatedColumnFormula>IF(AND(SamplingData[[#This Row],[Total]]&lt;&gt; 0, NOT(ISBLANK(SamplingData[[#This Row],[Candidate 7]]))),(SamplingData[[#This Row],[Total]]+SamplingData[[#This Row],[Winning Candidate]]-SamplingData[[#This Row],[Candidate 7]])/(SamplingData[[#Totals],[Winning Candidate]]-SamplingData[[#Totals],[Candidate 7]]), 0)</calculatedColumnFormula>
    </tableColumn>
    <tableColumn id="19" xr3:uid="{00000000-0010-0000-0500-000013000000}" name="Error Bound (up) - Max. possible relative overstatement - Candidate 8" totalsRowFunction="custom" dataDxfId="31" totalsRowDxfId="30" dataCellStyle="Comma">
      <calculatedColumnFormula>IF(AND(SamplingData[[#This Row],[Total]]&lt;&gt; 0, NOT(ISBLANK(SamplingData[[#This Row],[Candidate 8]]))),(SamplingData[[#This Row],[Total]]+SamplingData[[#This Row],[Winning Candidate]]-SamplingData[[#This Row],[Candidate 8]])/(SamplingData[[#Totals],[Winning Candidate]]-SamplingData[[#Totals],[Candidate 8]]), 0)</calculatedColumnFormula>
      <totalsRowFormula>SUM(SamplingData[Error Bound (up) - Max. possible relative overstatement - Candidate 8])</totalsRowFormula>
    </tableColumn>
    <tableColumn id="36" xr3:uid="{00000000-0010-0000-0500-000024000000}" name="Error Bound (up) - Max. possible relative overstatement - Candidate 9" totalsRowFunction="custom" dataDxfId="29" totalsRowDxfId="28" dataCellStyle="Comma">
      <calculatedColumnFormula>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calculatedColumnFormula>
      <totalsRowFormula>SUM(SamplingData[Error Bound (up) - Max. possible relative overstatement - Candidate 9])</totalsRowFormula>
    </tableColumn>
    <tableColumn id="35" xr3:uid="{00000000-0010-0000-0500-000023000000}" name="Error Bound (up) - Max. possible relative overstatement - Candidate 10" totalsRowFunction="custom" dataDxfId="27" totalsRowDxfId="26" dataCellStyle="Comma">
      <calculatedColumnFormula>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calculatedColumnFormula>
      <totalsRowFormula>SUM(SamplingData[Error Bound (up) - Max. possible relative overstatement - Candidate 10])</totalsRowFormula>
    </tableColumn>
    <tableColumn id="34" xr3:uid="{00000000-0010-0000-0500-000022000000}" name="Error Bound (up) - Max. possible relative overstatement - Candidate 11" totalsRowFunction="custom" dataDxfId="25" totalsRowDxfId="24" dataCellStyle="Comma">
      <calculatedColumnFormula>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calculatedColumnFormula>
      <totalsRowFormula>SUM(SamplingData[Error Bound (up) - Max. possible relative overstatement - Candidate 11])</totalsRowFormula>
    </tableColumn>
    <tableColumn id="33" xr3:uid="{00000000-0010-0000-0500-000021000000}" name="Error Bound (up) - Max. possible relative overstatement - Candidate 12" totalsRowFunction="custom" dataDxfId="23" totalsRowDxfId="22" dataCellStyle="Comma">
      <calculatedColumnFormula>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calculatedColumnFormula>
      <totalsRowFormula>SUM(SamplingData[Error Bound (up) - Max. possible relative overstatement - Candidate 12])</totalsRowFormula>
    </tableColumn>
    <tableColumn id="23" xr3:uid="{00000000-0010-0000-0500-000017000000}" name="Max Error Bound (up)" totalsRowFunction="custom" dataDxfId="21" totalsRowDxfId="20" dataCellStyle="Comma">
      <calculatedColumnFormula>MAX(SamplingData[[#This Row],[Error Bound (up) - Max. possible relative overstatement - Losing Candidate]:[Error Bound (up) - Max. possible relative overstatement - Candidate 12]])</calculatedColumnFormula>
      <totalsRowFormula>SUM(SamplingData[Max Error Bound (up)])</totalsRowFormula>
    </tableColumn>
    <tableColumn id="11" xr3:uid="{00000000-0010-0000-0500-00000B000000}" name="up/U Selection Probability" totalsRowFunction="custom" dataDxfId="19" totalsRowDxfId="18" dataCellStyle="Comma">
      <calculatedColumnFormula>IF(SamplingData[[#This Row],[Max Error Bound (up)]] = 0,0,SamplingData[[#This Row],[Max Error Bound (up)]]/SamplingData[[#Totals],[Max Error Bound (up)]])</calculatedColumnFormula>
      <totalsRowFormula>SUM(SamplingData[up/U Selection Probability])</totalsRowFormula>
    </tableColumn>
    <tableColumn id="12" xr3:uid="{00000000-0010-0000-0500-00000C000000}" name="Running (cumulative) sum" totalsRowFunction="custom" dataDxfId="17" totalsRowDxfId="16" dataCellStyle="Comma">
      <calculatedColumnFormula>SUM($AC$5:AC5)</calculatedColumnFormula>
      <totalsRowFormula>SUM(SamplingData[Running (cumulative) sum])</totalsRowFormula>
    </tableColumn>
    <tableColumn id="24" xr3:uid="{00000000-0010-0000-0500-000018000000}" name="Selection Range" totalsRowFunction="custom" dataDxfId="15" totalsRowDxfId="14" dataCellStyle="Comma">
      <calculatedColumnFormula array="1">IF(SamplingData[[#This Row],[up/U Selection Probability]] = 0, "Zero", TEXT(SamplingData[[#This Row],[Lower Range]], REPT("0",LEN('General Info'!$B$42))) &amp; " - " &amp; TEXT(SamplingData[[#This Row],[Upper Range]], REPT("0",LEN('General Info'!$B$42))))</calculatedColumnFormula>
      <totalsRowFormula>IF(OR(NOT(ISNUMBER('General Info'!$B$42)), NOT(ISNUMBER('General Info'!$B$43))), "UNDEFINED", TEXT(MIN(SamplingData[Lower Range]), REPT("0",LEN('General Info'!$B$42))) &amp; " - " &amp; TEXT(MAX(SamplingData[Upper Range]), REPT("0",LEN('General Info'!$B$42))))</totalsRowFormula>
    </tableColumn>
    <tableColumn id="14" xr3:uid="{00000000-0010-0000-0500-00000E000000}" name="Lower Range" totalsRowFunction="custom" dataDxfId="13" totalsRowDxfId="12" dataCellStyle="Comma">
      <calculatedColumnFormula>SamplingData[[#This Row],[Upper Range]]-SamplingData[[#This Row],[Span]]</calculatedColumnFormula>
      <totalsRowFormula>SUM(SamplingData[Lower Range])</totalsRowFormula>
    </tableColumn>
    <tableColumn id="15" xr3:uid="{00000000-0010-0000-0500-00000F000000}" name="Span" totalsRowFunction="custom" dataDxfId="11" totalsRowDxfId="10" dataCellStyle="Comma">
      <calculatedColumnFormula>IF(ISNUMBER('General Info'!$B$42), ((SamplingData[[#This Row],[up/U Selection Probability]]) * 'General Info'!$B$44) - 1, 0)</calculatedColumnFormula>
      <totalsRowFormula>SUM(SamplingData[Span])</totalsRowFormula>
    </tableColumn>
    <tableColumn id="4" xr3:uid="{00000000-0010-0000-0500-000004000000}" name="Upper Range" totalsRowFunction="custom" dataDxfId="9" totalsRowDxfId="8" dataCellStyle="Comma">
      <calculatedColumnFormula>IF(ISNUMBER('General Info'!$B$42), (SamplingData[[#This Row],[Running (cumulative) sum]] * ('General Info'!$B$42 -'General Info'!$B$43 + 1)) + 'General Info'!$B$43 - 1, 0)</calculatedColumnFormula>
      <totalsRowFormula>SUM(SamplingData[Upper Range])</totalsRowFormula>
    </tableColumn>
    <tableColumn id="26" xr3:uid="{00000000-0010-0000-0500-00001A000000}" name="Selection - Batch picked for audit" totalsRowLabel="Total" dataDxfId="7" totalsRowDxfId="6" dataCellStyle="Comma">
      <calculatedColumnFormula>IF(ISERROR(MATCH(SamplingData[[#This Row],[Batch by Type (p)]],SelectedPrecincts[Batch Name], 0)), "", INDEX(SelectedPrecincts[Draw], MATCH(SamplingData[[#This Row],[Batch by Type (p)]],SelectedPrecincts[Batch Name], 0)))</calculatedColumnFormula>
    </tableColumn>
    <tableColumn id="13" xr3:uid="{00000000-0010-0000-0500-00000D000000}" name="Times p Drawn - With Replacement" totalsRowFunction="custom" dataDxfId="5" totalsRowDxfId="4" dataCellStyle="Comma">
      <calculatedColumnFormula>IF(COUNTIF(SelectedPrecincts[Batch Name],SamplingData[[#This Row],[Batch by Type (p)]]) &lt;&gt; 0, COUNTIF(SelectedPrecincts[Batch Name],SamplingData[[#This Row],[Batch by Type (p)]]), 0)</calculatedColumnFormula>
      <totalsRowFormula>COUNTIF(SamplingData[Times p Drawn - With Replacement], "&lt;&gt;0")</totalsRowFormula>
    </tableColumn>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48"/>
  <sheetViews>
    <sheetView tabSelected="1" workbookViewId="0">
      <selection activeCell="B20" sqref="B20"/>
    </sheetView>
  </sheetViews>
  <sheetFormatPr defaultRowHeight="15" customHeight="1" x14ac:dyDescent="0.35"/>
  <cols>
    <col min="1" max="1" width="51.54296875" bestFit="1" customWidth="1"/>
    <col min="2" max="2" width="33.7265625" customWidth="1"/>
    <col min="4" max="4" width="9.1796875" customWidth="1"/>
  </cols>
  <sheetData>
    <row r="1" spans="1:2" ht="23.5" x14ac:dyDescent="0.35">
      <c r="A1" s="124" t="s">
        <v>10</v>
      </c>
      <c r="B1" s="124"/>
    </row>
    <row r="2" spans="1:2" ht="23.5" x14ac:dyDescent="0.35">
      <c r="A2" s="124" t="s">
        <v>274</v>
      </c>
      <c r="B2" s="124"/>
    </row>
    <row r="3" spans="1:2" ht="14.5" x14ac:dyDescent="0.35">
      <c r="A3" s="72"/>
      <c r="B3" s="72"/>
    </row>
    <row r="4" spans="1:2" ht="14.5" x14ac:dyDescent="0.35">
      <c r="A4" s="125" t="s">
        <v>11</v>
      </c>
      <c r="B4" s="126"/>
    </row>
    <row r="5" spans="1:2" ht="14.5" x14ac:dyDescent="0.35">
      <c r="A5" s="3" t="s">
        <v>12</v>
      </c>
      <c r="B5" s="14" t="s">
        <v>275</v>
      </c>
    </row>
    <row r="6" spans="1:2" ht="14.5" x14ac:dyDescent="0.35">
      <c r="A6" s="3" t="s">
        <v>13</v>
      </c>
      <c r="B6" s="11">
        <f>IF(ISERR($B$7/$B$8), 0, $B$7/$B$8)</f>
        <v>28</v>
      </c>
    </row>
    <row r="7" spans="1:2" ht="14.5" x14ac:dyDescent="0.35">
      <c r="A7" s="3" t="s">
        <v>14</v>
      </c>
      <c r="B7" s="11">
        <f>COUNTA(SamplingData[Batch by Type (p)])</f>
        <v>56</v>
      </c>
    </row>
    <row r="8" spans="1:2" ht="14.5" x14ac:dyDescent="0.35">
      <c r="A8" s="3" t="s">
        <v>100</v>
      </c>
      <c r="B8" s="11">
        <v>2</v>
      </c>
    </row>
    <row r="9" spans="1:2" ht="14.5" x14ac:dyDescent="0.35">
      <c r="A9" s="3" t="s">
        <v>29</v>
      </c>
      <c r="B9" s="11">
        <v>2</v>
      </c>
    </row>
    <row r="10" spans="1:2" ht="14.5" x14ac:dyDescent="0.35">
      <c r="A10" s="3" t="s">
        <v>15</v>
      </c>
      <c r="B10" s="12">
        <f>SamplingData[[#Totals],[Total]]</f>
        <v>5825</v>
      </c>
    </row>
    <row r="11" spans="1:2" ht="14.5" x14ac:dyDescent="0.35">
      <c r="A11" s="3" t="s">
        <v>16</v>
      </c>
      <c r="B11" s="11">
        <v>55164</v>
      </c>
    </row>
    <row r="12" spans="1:2" ht="14.5" x14ac:dyDescent="0.35">
      <c r="A12" s="3" t="s">
        <v>17</v>
      </c>
      <c r="B12" s="4">
        <v>0.9</v>
      </c>
    </row>
    <row r="13" spans="1:2" ht="14.5" x14ac:dyDescent="0.35">
      <c r="A13" s="3" t="s">
        <v>124</v>
      </c>
      <c r="B13" s="11">
        <f>IF(ISERR(LN(1-$B$12)/LN(1-1/SamplingData[[#Totals],[Max Error Bound (up)]])), 0, ROUNDUP(LN(1-$B$12)/LN(1-1/SamplingData[[#Totals],[Max Error Bound (up)]]), 0))</f>
        <v>30</v>
      </c>
    </row>
    <row r="14" spans="1:2" ht="14.5" x14ac:dyDescent="0.35">
      <c r="A14" s="3" t="s">
        <v>125</v>
      </c>
      <c r="B14" s="11">
        <f>COUNT(SelectedPrecincts[Batch Number])</f>
        <v>30</v>
      </c>
    </row>
    <row r="15" spans="1:2" ht="14.5" x14ac:dyDescent="0.35">
      <c r="A15" s="3" t="s">
        <v>18</v>
      </c>
      <c r="B15" s="11">
        <f>SUMIF(Audit[Process Batch],TRUE,Audit[Times p Drawn - With Replacement])</f>
        <v>29</v>
      </c>
    </row>
    <row r="16" spans="1:2" ht="14.5" x14ac:dyDescent="0.35">
      <c r="A16" s="3" t="s">
        <v>19</v>
      </c>
      <c r="B16" s="11">
        <f>COUNTIF(Audit[Process Batch], TRUE)</f>
        <v>55</v>
      </c>
    </row>
    <row r="17" spans="1:2" ht="14.5" x14ac:dyDescent="0.35">
      <c r="A17" s="3" t="s">
        <v>20</v>
      </c>
      <c r="B17" s="11">
        <f>SUMIF(Audit[Process Batch], TRUE, Audit[Total])</f>
        <v>5698</v>
      </c>
    </row>
    <row r="18" spans="1:2" ht="14.5" x14ac:dyDescent="0.35">
      <c r="A18" s="3" t="s">
        <v>21</v>
      </c>
      <c r="B18" s="11">
        <f>Audit[[#Totals],[Total Differences]]</f>
        <v>0</v>
      </c>
    </row>
    <row r="19" spans="1:2" ht="14.5" x14ac:dyDescent="0.35">
      <c r="A19" s="5" t="s">
        <v>22</v>
      </c>
      <c r="B19" s="13">
        <f>IF($B$17 = 0, 0, $B$18/$B$17)</f>
        <v>0</v>
      </c>
    </row>
    <row r="20" spans="1:2" ht="14.5" x14ac:dyDescent="0.35">
      <c r="A20" s="5" t="s">
        <v>23</v>
      </c>
      <c r="B20" s="11">
        <v>22</v>
      </c>
    </row>
    <row r="21" spans="1:2" ht="14.5" x14ac:dyDescent="0.35">
      <c r="A21" s="5" t="s">
        <v>24</v>
      </c>
      <c r="B21" s="11">
        <v>28</v>
      </c>
    </row>
    <row r="22" spans="1:2" ht="14.5" x14ac:dyDescent="0.35">
      <c r="A22" s="3" t="s">
        <v>25</v>
      </c>
      <c r="B22" s="181">
        <v>0</v>
      </c>
    </row>
    <row r="23" spans="1:2" ht="14.5" x14ac:dyDescent="0.35">
      <c r="A23" s="5" t="s">
        <v>26</v>
      </c>
      <c r="B23" s="6">
        <f>IF($B$10 = 0,0, IF(ISNUMBER($B$22), ($B$22/$B$10), 0))</f>
        <v>0</v>
      </c>
    </row>
    <row r="24" spans="1:2" ht="14.5" x14ac:dyDescent="0.35">
      <c r="A24" s="5" t="s">
        <v>27</v>
      </c>
      <c r="B24" s="6">
        <f>IF(ISERR($B$22/$B$11), 0, $B$22/$B$11)</f>
        <v>0</v>
      </c>
    </row>
    <row r="25" spans="1:2" ht="15" customHeight="1" x14ac:dyDescent="0.35">
      <c r="A25" s="73"/>
      <c r="B25" s="73"/>
    </row>
    <row r="26" spans="1:2" ht="14.5" x14ac:dyDescent="0.35">
      <c r="A26" s="125" t="s">
        <v>113</v>
      </c>
      <c r="B26" s="129"/>
    </row>
    <row r="27" spans="1:2" ht="14.5" x14ac:dyDescent="0.35">
      <c r="A27" s="26" t="s">
        <v>103</v>
      </c>
      <c r="B27" s="27" t="s">
        <v>272</v>
      </c>
    </row>
    <row r="28" spans="1:2" ht="14.5" x14ac:dyDescent="0.35">
      <c r="A28" s="26" t="s">
        <v>104</v>
      </c>
      <c r="B28" s="27" t="s">
        <v>273</v>
      </c>
    </row>
    <row r="29" spans="1:2" ht="14.5" hidden="1" x14ac:dyDescent="0.35">
      <c r="A29" s="26" t="s">
        <v>48</v>
      </c>
      <c r="B29" s="27"/>
    </row>
    <row r="30" spans="1:2" ht="14.5" hidden="1" x14ac:dyDescent="0.35">
      <c r="A30" s="26" t="s">
        <v>49</v>
      </c>
      <c r="B30" s="27"/>
    </row>
    <row r="31" spans="1:2" ht="14.5" hidden="1" x14ac:dyDescent="0.35">
      <c r="A31" s="26" t="s">
        <v>50</v>
      </c>
      <c r="B31" s="85"/>
    </row>
    <row r="32" spans="1:2" ht="14.5" hidden="1" x14ac:dyDescent="0.35">
      <c r="A32" s="26" t="s">
        <v>51</v>
      </c>
      <c r="B32" s="27"/>
    </row>
    <row r="33" spans="1:2" ht="14.5" hidden="1" x14ac:dyDescent="0.35">
      <c r="A33" s="84" t="s">
        <v>168</v>
      </c>
      <c r="B33" s="85"/>
    </row>
    <row r="34" spans="1:2" ht="14.5" hidden="1" x14ac:dyDescent="0.35">
      <c r="A34" s="84" t="s">
        <v>169</v>
      </c>
      <c r="B34" s="27"/>
    </row>
    <row r="35" spans="1:2" ht="14.5" hidden="1" x14ac:dyDescent="0.35">
      <c r="A35" s="84" t="s">
        <v>184</v>
      </c>
      <c r="B35" s="85"/>
    </row>
    <row r="36" spans="1:2" ht="14.5" hidden="1" x14ac:dyDescent="0.35">
      <c r="A36" s="84" t="s">
        <v>185</v>
      </c>
      <c r="B36" s="85"/>
    </row>
    <row r="37" spans="1:2" ht="14.5" hidden="1" x14ac:dyDescent="0.35">
      <c r="A37" s="84" t="s">
        <v>186</v>
      </c>
      <c r="B37" s="85"/>
    </row>
    <row r="38" spans="1:2" ht="14.5" hidden="1" x14ac:dyDescent="0.35">
      <c r="A38" s="84" t="s">
        <v>187</v>
      </c>
      <c r="B38" s="85"/>
    </row>
    <row r="39" spans="1:2" ht="15" customHeight="1" x14ac:dyDescent="0.35">
      <c r="A39" s="72"/>
      <c r="B39" s="72"/>
    </row>
    <row r="40" spans="1:2" ht="15" customHeight="1" x14ac:dyDescent="0.35">
      <c r="A40" s="125" t="s">
        <v>44</v>
      </c>
      <c r="B40" s="126"/>
    </row>
    <row r="41" spans="1:2" ht="15" customHeight="1" x14ac:dyDescent="0.35">
      <c r="A41" s="7" t="s">
        <v>42</v>
      </c>
      <c r="B41" s="50">
        <f t="array" ref="B41">IF(ISERR(ROUNDUP(SamplingData[[#Totals],[Max Error Bound (up)]]/MIN(IF(SamplingData[Max Error Bound (up)] &lt;&gt; 0,SamplingData[Max Error Bound (up)], "")) / 2, 0)), 0,VALUE( REPT("9", LEN(ROUNDUP(SamplingData[[#Totals],[Max Error Bound (up)]]/MIN(IF(SamplingData[Max Error Bound (up)] &lt;&gt; 0, SamplingData[Max Error Bound (up)], "")) / 2, 0)))))</f>
        <v>999</v>
      </c>
    </row>
    <row r="42" spans="1:2" ht="15" customHeight="1" x14ac:dyDescent="0.35">
      <c r="A42" s="8" t="s">
        <v>40</v>
      </c>
      <c r="B42" s="89">
        <v>999</v>
      </c>
    </row>
    <row r="43" spans="1:2" ht="15" customHeight="1" x14ac:dyDescent="0.35">
      <c r="A43" s="88" t="s">
        <v>41</v>
      </c>
      <c r="B43" s="91">
        <v>0</v>
      </c>
    </row>
    <row r="44" spans="1:2" ht="15" customHeight="1" x14ac:dyDescent="0.35">
      <c r="A44" s="8" t="s">
        <v>39</v>
      </c>
      <c r="B44" s="90">
        <f>IF(ISERR(B42-B43 + 1), 0, B42-B43 + 1)</f>
        <v>1000</v>
      </c>
    </row>
    <row r="45" spans="1:2" ht="15" customHeight="1" x14ac:dyDescent="0.35">
      <c r="A45" s="74"/>
      <c r="B45" s="74"/>
    </row>
    <row r="46" spans="1:2" ht="14.5" x14ac:dyDescent="0.35">
      <c r="A46" s="127" t="s">
        <v>161</v>
      </c>
      <c r="B46" s="128"/>
    </row>
    <row r="47" spans="1:2" ht="14.5" x14ac:dyDescent="0.35">
      <c r="A47" s="9" t="s">
        <v>45</v>
      </c>
      <c r="B47" s="10" t="s">
        <v>46</v>
      </c>
    </row>
    <row r="48" spans="1:2" ht="14.5" x14ac:dyDescent="0.35">
      <c r="A48" t="str">
        <f t="array" ref="A48">IF(COUNTIF(Audit[Total Differences], "&lt;&gt;0")&gt;=ROW()-ROW($A$47),INDEX(Audit[Precinct (p) - Batched by Type],SMALL(IF(Audit[Total Differences]&lt;&gt;0,ROW(Audit[Total Differences])-ROW(Audit[#Headers]),""),ROW() - ROW(Table7[#Headers]))),"END")</f>
        <v>END</v>
      </c>
      <c r="B48" t="str">
        <f t="array" ref="B48">IF(COUNTIF(Audit[Total Differences], "&lt;&gt;0")&gt;=ROW()-ROW($A$47),INDEX(Audit[Reason For Differences],SMALL(IF(Audit[Total Differences]&lt;&gt;0,ROW(Audit[Total Differences])-ROW(Audit[#Headers]),""),ROW() - ROW(Table7[#Headers]))),"END")</f>
        <v>END</v>
      </c>
    </row>
  </sheetData>
  <mergeCells count="6">
    <mergeCell ref="A1:B1"/>
    <mergeCell ref="A2:B2"/>
    <mergeCell ref="A4:B4"/>
    <mergeCell ref="A40:B40"/>
    <mergeCell ref="A46:B46"/>
    <mergeCell ref="A26:B26"/>
  </mergeCells>
  <conditionalFormatting sqref="B44">
    <cfRule type="expression" dxfId="3" priority="3">
      <formula>$B$44 &lt; $B$41</formula>
    </cfRule>
  </conditionalFormatting>
  <printOptions horizontalCentered="1" gridLines="1"/>
  <pageMargins left="0.7" right="0.7" top="0.75" bottom="0.75" header="0.3" footer="0.3"/>
  <pageSetup fitToHeight="0" orientation="portrait" r:id="rId1"/>
  <headerFooter>
    <oddFooter>&amp;C&amp;P of &amp;N</oddFoot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32"/>
  <sheetViews>
    <sheetView topLeftCell="A7" zoomScaleNormal="100" workbookViewId="0">
      <selection activeCell="B33" sqref="B33"/>
    </sheetView>
  </sheetViews>
  <sheetFormatPr defaultRowHeight="15" customHeight="1" x14ac:dyDescent="0.35"/>
  <cols>
    <col min="1" max="1" width="14.26953125" customWidth="1"/>
    <col min="2" max="2" width="18.7265625" customWidth="1"/>
    <col min="3" max="3" width="42.7265625" bestFit="1" customWidth="1"/>
  </cols>
  <sheetData>
    <row r="1" spans="1:3" ht="14.5" x14ac:dyDescent="0.35">
      <c r="A1" s="125" t="str">
        <f ca="1">MID(CELL("filename",$A$2), FIND("]", CELL("filename",$A$2)) + 1, 255)</f>
        <v>Selected Batches</v>
      </c>
      <c r="B1" s="130"/>
      <c r="C1" s="126"/>
    </row>
    <row r="2" spans="1:3" ht="14.5" x14ac:dyDescent="0.35">
      <c r="A2" s="2" t="s">
        <v>28</v>
      </c>
      <c r="B2" s="2" t="s">
        <v>8</v>
      </c>
      <c r="C2" s="2" t="s">
        <v>9</v>
      </c>
    </row>
    <row r="3" spans="1:3" ht="14.5" x14ac:dyDescent="0.35">
      <c r="A3" s="24">
        <f t="shared" ref="A3:A12" si="0">ROW() -2</f>
        <v>1</v>
      </c>
      <c r="B3" s="48">
        <v>908</v>
      </c>
      <c r="C3" s="25" t="str">
        <f t="array" ref="C3">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8909 SYCAM I   (ED)</v>
      </c>
    </row>
    <row r="4" spans="1:3" ht="14.5" x14ac:dyDescent="0.35">
      <c r="A4" s="24">
        <f t="shared" si="0"/>
        <v>2</v>
      </c>
      <c r="B4" s="49">
        <v>162</v>
      </c>
      <c r="C4" s="25" t="str">
        <f t="array" ref="C4">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4921 SHAR 2-A   (ED)</v>
      </c>
    </row>
    <row r="5" spans="1:3" ht="14.5" x14ac:dyDescent="0.35">
      <c r="A5" s="24">
        <f t="shared" si="0"/>
        <v>3</v>
      </c>
      <c r="B5" s="49">
        <v>685</v>
      </c>
      <c r="C5" s="25" t="str">
        <f t="array" ref="C5">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6802 EVEN B   (ED)</v>
      </c>
    </row>
    <row r="6" spans="1:3" ht="14.5" x14ac:dyDescent="0.35">
      <c r="A6" s="24">
        <f t="shared" si="0"/>
        <v>4</v>
      </c>
      <c r="B6" s="49">
        <v>772</v>
      </c>
      <c r="C6" s="25" t="str">
        <f t="array" ref="C6">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7002 GLEN B   (ED)</v>
      </c>
    </row>
    <row r="7" spans="1:3" ht="14.5" x14ac:dyDescent="0.35">
      <c r="A7" s="24">
        <f t="shared" si="0"/>
        <v>5</v>
      </c>
      <c r="B7" s="49">
        <v>190</v>
      </c>
      <c r="C7" s="25" t="str">
        <f t="array" ref="C7">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4931 SHAR 3-A   (ED)</v>
      </c>
    </row>
    <row r="8" spans="1:3" ht="14.5" x14ac:dyDescent="0.35">
      <c r="A8" s="24">
        <f t="shared" si="0"/>
        <v>6</v>
      </c>
      <c r="B8" s="49">
        <v>593</v>
      </c>
      <c r="C8" s="25" t="str">
        <f t="array" ref="C8">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6801 EVEN A   (ED)</v>
      </c>
    </row>
    <row r="9" spans="1:3" ht="14.5" x14ac:dyDescent="0.35">
      <c r="A9" s="24">
        <f t="shared" si="0"/>
        <v>7</v>
      </c>
      <c r="B9" s="49">
        <v>425</v>
      </c>
      <c r="C9" s="25" t="str">
        <f t="array" ref="C9">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5202 SPDALE B   (ED)</v>
      </c>
    </row>
    <row r="10" spans="1:3" ht="14.5" x14ac:dyDescent="0.35">
      <c r="A10" s="24">
        <f t="shared" si="0"/>
        <v>8</v>
      </c>
      <c r="B10" s="49">
        <v>617</v>
      </c>
      <c r="C10" s="25" t="str">
        <f t="array" ref="C10">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6801 EVEN A   (ED)</v>
      </c>
    </row>
    <row r="11" spans="1:3" ht="14.5" x14ac:dyDescent="0.35">
      <c r="A11" s="24">
        <f t="shared" si="0"/>
        <v>9</v>
      </c>
      <c r="B11" s="49">
        <v>575</v>
      </c>
      <c r="C11" s="25" t="str">
        <f t="array" ref="C11">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5208 SPDALE H   (ED)</v>
      </c>
    </row>
    <row r="12" spans="1:3" ht="14.5" x14ac:dyDescent="0.35">
      <c r="A12" s="24">
        <f t="shared" si="0"/>
        <v>10</v>
      </c>
      <c r="B12" s="49">
        <v>132</v>
      </c>
      <c r="C12" s="25" t="str">
        <f t="array" ref="C12">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4912 SHAR 1-B   (ED)</v>
      </c>
    </row>
    <row r="13" spans="1:3" ht="15" customHeight="1" x14ac:dyDescent="0.35">
      <c r="A13" s="121">
        <f t="shared" ref="A13:A32" si="1">ROW() -2</f>
        <v>11</v>
      </c>
      <c r="B13" s="122">
        <v>149</v>
      </c>
      <c r="C13" s="123" t="str" cm="1">
        <f t="array" ref="C13">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4921 SHAR 2-A   (ED)</v>
      </c>
    </row>
    <row r="14" spans="1:3" ht="15" customHeight="1" x14ac:dyDescent="0.35">
      <c r="A14" s="121">
        <f t="shared" si="1"/>
        <v>12</v>
      </c>
      <c r="B14" s="122">
        <v>479</v>
      </c>
      <c r="C14" s="123" t="str" cm="1">
        <f t="array" ref="C14">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5204 SPDALE D   (ED)</v>
      </c>
    </row>
    <row r="15" spans="1:3" ht="15" customHeight="1" x14ac:dyDescent="0.35">
      <c r="A15" s="121">
        <f t="shared" si="1"/>
        <v>13</v>
      </c>
      <c r="B15" s="122">
        <v>617</v>
      </c>
      <c r="C15" s="123" t="str" cm="1">
        <f t="array" ref="C15">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6801 EVEN A   (ED)</v>
      </c>
    </row>
    <row r="16" spans="1:3" ht="15" customHeight="1" x14ac:dyDescent="0.35">
      <c r="A16" s="121">
        <f t="shared" si="1"/>
        <v>14</v>
      </c>
      <c r="B16" s="122">
        <v>180</v>
      </c>
      <c r="C16" s="123" t="str" cm="1">
        <f t="array" ref="C16">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4921 SHAR 2-A   (ED)</v>
      </c>
    </row>
    <row r="17" spans="1:3" ht="15" customHeight="1" x14ac:dyDescent="0.35">
      <c r="A17" s="121">
        <f t="shared" si="1"/>
        <v>15</v>
      </c>
      <c r="B17" s="122">
        <v>992</v>
      </c>
      <c r="C17" s="123" t="str" cm="1">
        <f t="array" ref="C17">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9702 WOOD B   (ED)</v>
      </c>
    </row>
    <row r="18" spans="1:3" ht="15" customHeight="1" x14ac:dyDescent="0.35">
      <c r="A18" s="121">
        <f t="shared" si="1"/>
        <v>16</v>
      </c>
      <c r="B18" s="122">
        <v>391</v>
      </c>
      <c r="C18" s="123" t="str" cm="1">
        <f t="array" ref="C18">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5202 SPDALE B   (ED)</v>
      </c>
    </row>
    <row r="19" spans="1:3" ht="15" customHeight="1" x14ac:dyDescent="0.35">
      <c r="A19" s="121">
        <f t="shared" si="1"/>
        <v>17</v>
      </c>
      <c r="B19" s="122">
        <v>312</v>
      </c>
      <c r="C19" s="123" t="str" cm="1">
        <f t="array" ref="C19">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4942 SHAR 4-B   (ED)</v>
      </c>
    </row>
    <row r="20" spans="1:3" ht="15" customHeight="1" x14ac:dyDescent="0.35">
      <c r="A20" s="121">
        <f t="shared" si="1"/>
        <v>18</v>
      </c>
      <c r="B20" s="122">
        <v>86</v>
      </c>
      <c r="C20" s="123" t="str" cm="1">
        <f t="array" ref="C20">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8909 SYCAM I   (AV)</v>
      </c>
    </row>
    <row r="21" spans="1:3" ht="15" customHeight="1" x14ac:dyDescent="0.35">
      <c r="A21" s="121">
        <f t="shared" si="1"/>
        <v>19</v>
      </c>
      <c r="B21" s="122">
        <v>109</v>
      </c>
      <c r="C21" s="123" t="str" cm="1">
        <f t="array" ref="C21">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4911 SHAR 1-A   (ED)</v>
      </c>
    </row>
    <row r="22" spans="1:3" ht="15" customHeight="1" x14ac:dyDescent="0.35">
      <c r="A22" s="121">
        <f t="shared" si="1"/>
        <v>20</v>
      </c>
      <c r="B22" s="122">
        <v>55</v>
      </c>
      <c r="C22" s="123" t="str" cm="1">
        <f t="array" ref="C22">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6801 EVEN A   (AV)</v>
      </c>
    </row>
    <row r="23" spans="1:3" ht="15" customHeight="1" x14ac:dyDescent="0.35">
      <c r="A23" s="121">
        <f t="shared" si="1"/>
        <v>21</v>
      </c>
      <c r="B23" s="122">
        <v>225</v>
      </c>
      <c r="C23" s="123" t="str" cm="1">
        <f t="array" ref="C23">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4932 SHAR 3-B   (ED)</v>
      </c>
    </row>
    <row r="24" spans="1:3" ht="15" customHeight="1" x14ac:dyDescent="0.35">
      <c r="A24" s="121">
        <f t="shared" si="1"/>
        <v>22</v>
      </c>
      <c r="B24" s="122">
        <v>381</v>
      </c>
      <c r="C24" s="123" t="str" cm="1">
        <f t="array" ref="C24">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5201 SPDALE A   (ED)</v>
      </c>
    </row>
    <row r="25" spans="1:3" ht="15" customHeight="1" x14ac:dyDescent="0.35">
      <c r="A25" s="121">
        <f t="shared" si="1"/>
        <v>23</v>
      </c>
      <c r="B25" s="122">
        <v>138</v>
      </c>
      <c r="C25" s="123" t="str" cm="1">
        <f t="array" ref="C25">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4921 SHAR 2-A   (ED)</v>
      </c>
    </row>
    <row r="26" spans="1:3" ht="15" customHeight="1" x14ac:dyDescent="0.35">
      <c r="A26" s="121">
        <f t="shared" si="1"/>
        <v>24</v>
      </c>
      <c r="B26" s="122">
        <v>775</v>
      </c>
      <c r="C26" s="123" t="str" cm="1">
        <f t="array" ref="C26">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7002 GLEN B   (ED)</v>
      </c>
    </row>
    <row r="27" spans="1:3" ht="15" customHeight="1" x14ac:dyDescent="0.35">
      <c r="A27" s="121">
        <f t="shared" si="1"/>
        <v>25</v>
      </c>
      <c r="B27" s="122">
        <v>896</v>
      </c>
      <c r="C27" s="123" t="str" cm="1">
        <f t="array" ref="C27">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8909 SYCAM I   (ED)</v>
      </c>
    </row>
    <row r="28" spans="1:3" ht="15" customHeight="1" x14ac:dyDescent="0.35">
      <c r="A28" s="121">
        <f t="shared" si="1"/>
        <v>26</v>
      </c>
      <c r="B28" s="122">
        <v>49</v>
      </c>
      <c r="C28" s="123" t="str" cm="1">
        <f t="array" ref="C28">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6801 EVEN A   (AV)</v>
      </c>
    </row>
    <row r="29" spans="1:3" ht="15" customHeight="1" x14ac:dyDescent="0.35">
      <c r="A29" s="121">
        <f t="shared" si="1"/>
        <v>27</v>
      </c>
      <c r="B29" s="122">
        <v>959</v>
      </c>
      <c r="C29" s="123" t="str" cm="1">
        <f t="array" ref="C29">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9701 WOOD A   (ED)</v>
      </c>
    </row>
    <row r="30" spans="1:3" ht="15" customHeight="1" x14ac:dyDescent="0.35">
      <c r="A30" s="121">
        <f t="shared" si="1"/>
        <v>28</v>
      </c>
      <c r="B30" s="122">
        <v>401</v>
      </c>
      <c r="C30" s="123" t="str" cm="1">
        <f t="array" ref="C30">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5202 SPDALE B   (ED)</v>
      </c>
    </row>
    <row r="31" spans="1:3" ht="15" customHeight="1" x14ac:dyDescent="0.35">
      <c r="A31" s="121">
        <f t="shared" si="1"/>
        <v>29</v>
      </c>
      <c r="B31" s="122">
        <v>67</v>
      </c>
      <c r="C31" s="123" t="str" cm="1">
        <f t="array" ref="C31">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7001 GLEN A   (AV)</v>
      </c>
    </row>
    <row r="32" spans="1:3" ht="15" customHeight="1" x14ac:dyDescent="0.35">
      <c r="A32" s="121">
        <f t="shared" si="1"/>
        <v>30</v>
      </c>
      <c r="B32" s="122">
        <v>217</v>
      </c>
      <c r="C32" s="123" t="str" cm="1">
        <f t="array" ref="C32">IF(ISBLANK(SelectedPrecincts[[#This Row],[Batch Number]]), "No Batch Number", INDEX(SamplingData[Batch by Type (p)], MIN(IF((SelectedPrecincts[[#This Row],[Batch Number]]&gt;=ROUND(SamplingData[Lower Range], 0)) * (SelectedPrecincts[[#This Row],[Batch Number]]&lt;=ROUND(SamplingData[Upper Range], 0)),ROW(SamplingData[Lower Range]), ""))-ROW(SamplingData[#Headers])))</f>
        <v>4932 SHAR 3-B   (ED)</v>
      </c>
    </row>
  </sheetData>
  <mergeCells count="1">
    <mergeCell ref="A1:C1"/>
  </mergeCells>
  <printOptions horizontalCentered="1"/>
  <pageMargins left="0.7" right="0.7" top="0.75" bottom="0.75" header="0.3" footer="0.3"/>
  <pageSetup fitToHeight="0" orientation="portrait" r:id="rId1"/>
  <headerFoot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BO61"/>
  <sheetViews>
    <sheetView zoomScaleNormal="100" zoomScalePageLayoutView="80" workbookViewId="0">
      <pane ySplit="4" topLeftCell="A21" activePane="bottomLeft" state="frozen"/>
      <selection pane="bottomLeft" activeCell="T42" sqref="T42"/>
    </sheetView>
  </sheetViews>
  <sheetFormatPr defaultRowHeight="15" customHeight="1" x14ac:dyDescent="0.35"/>
  <cols>
    <col min="1" max="1" width="12.81640625" customWidth="1"/>
    <col min="2" max="2" width="39.453125" bestFit="1" customWidth="1"/>
    <col min="3" max="3" width="14.26953125" customWidth="1"/>
    <col min="4" max="4" width="17.54296875" customWidth="1"/>
    <col min="5" max="6" width="15.7265625" hidden="1" customWidth="1"/>
    <col min="7" max="7" width="14.54296875" hidden="1" customWidth="1"/>
    <col min="8" max="8" width="15.453125" hidden="1" customWidth="1"/>
    <col min="9" max="9" width="17.26953125" hidden="1" customWidth="1"/>
    <col min="10" max="10" width="16.26953125" hidden="1" customWidth="1"/>
    <col min="11" max="11" width="16.1796875" hidden="1" customWidth="1"/>
    <col min="12" max="12" width="16.54296875" hidden="1" customWidth="1"/>
    <col min="13" max="13" width="15.54296875" hidden="1" customWidth="1"/>
    <col min="14" max="14" width="15.81640625" hidden="1" customWidth="1"/>
    <col min="15" max="15" width="13.1796875" customWidth="1"/>
    <col min="16" max="16" width="12.7265625" customWidth="1"/>
    <col min="17" max="17" width="13" customWidth="1"/>
    <col min="18" max="18" width="12.453125" customWidth="1"/>
    <col min="19" max="19" width="14.26953125" customWidth="1"/>
    <col min="20" max="20" width="17.54296875" customWidth="1"/>
    <col min="21" max="21" width="15.26953125" hidden="1" customWidth="1"/>
    <col min="22" max="22" width="16.1796875" hidden="1" customWidth="1"/>
    <col min="23" max="23" width="15.7265625" hidden="1" customWidth="1"/>
    <col min="24" max="24" width="15.26953125" hidden="1" customWidth="1"/>
    <col min="25" max="25" width="15.7265625" hidden="1" customWidth="1"/>
    <col min="26" max="26" width="15.54296875" hidden="1" customWidth="1"/>
    <col min="27" max="28" width="14.453125" hidden="1" customWidth="1"/>
    <col min="29" max="30" width="15.1796875" hidden="1" customWidth="1"/>
    <col min="31" max="31" width="14.81640625" hidden="1" customWidth="1"/>
    <col min="32" max="32" width="14.26953125" hidden="1" customWidth="1"/>
    <col min="33" max="34" width="15.453125" hidden="1" customWidth="1"/>
    <col min="35" max="35" width="14.81640625" hidden="1" customWidth="1"/>
    <col min="36" max="37" width="14.54296875" hidden="1" customWidth="1"/>
    <col min="38" max="42" width="14.7265625" hidden="1" customWidth="1"/>
    <col min="43" max="44" width="16.1796875" hidden="1" customWidth="1"/>
    <col min="45" max="45" width="15.453125" customWidth="1"/>
    <col min="46" max="47" width="20.453125" hidden="1" customWidth="1"/>
    <col min="48" max="48" width="18.1796875" hidden="1" customWidth="1"/>
    <col min="49" max="49" width="20.7265625" hidden="1" customWidth="1"/>
    <col min="50" max="52" width="21" hidden="1" customWidth="1"/>
    <col min="53" max="57" width="20.453125" hidden="1" customWidth="1"/>
    <col min="58" max="58" width="14.54296875" hidden="1" customWidth="1"/>
    <col min="59" max="59" width="21.54296875" hidden="1" customWidth="1"/>
    <col min="60" max="60" width="15.1796875" hidden="1" customWidth="1"/>
    <col min="61" max="61" width="18.453125" hidden="1" customWidth="1"/>
    <col min="62" max="62" width="16.7265625" hidden="1" customWidth="1"/>
    <col min="63" max="63" width="15.1796875" customWidth="1"/>
    <col min="64" max="64" width="12.7265625" customWidth="1"/>
    <col min="65" max="65" width="11" hidden="1" customWidth="1"/>
    <col min="66" max="66" width="34.54296875" customWidth="1"/>
    <col min="67" max="67" width="12.7265625" customWidth="1"/>
    <col min="68" max="68" width="18" customWidth="1"/>
    <col min="69" max="69" width="26.453125" bestFit="1" customWidth="1"/>
    <col min="70" max="70" width="4.7265625" bestFit="1" customWidth="1"/>
  </cols>
  <sheetData>
    <row r="1" spans="1:67" ht="15" customHeight="1" x14ac:dyDescent="0.35">
      <c r="A1" s="134" t="str">
        <f ca="1">MID(CELL("filename",$A$4), FIND("]", CELL("filename",$A$4)) + 1, 255)</f>
        <v>Audit</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47">
        <f>'General Info'!$B$12</f>
        <v>0.9</v>
      </c>
    </row>
    <row r="2" spans="1:67" ht="15" customHeight="1" x14ac:dyDescent="0.35">
      <c r="A2" s="131" t="s">
        <v>99</v>
      </c>
      <c r="B2" s="132"/>
      <c r="C2" s="132"/>
      <c r="D2" s="132"/>
      <c r="E2" s="132"/>
      <c r="F2" s="132"/>
      <c r="G2" s="132"/>
      <c r="H2" s="132"/>
      <c r="I2" s="132"/>
      <c r="J2" s="132"/>
      <c r="K2" s="132"/>
      <c r="L2" s="132"/>
      <c r="M2" s="132"/>
      <c r="N2" s="132"/>
      <c r="O2" s="132"/>
      <c r="P2" s="132"/>
      <c r="Q2" s="132"/>
      <c r="R2" s="133"/>
      <c r="S2" s="136" t="s">
        <v>98</v>
      </c>
      <c r="T2" s="137"/>
      <c r="U2" s="137"/>
      <c r="V2" s="137"/>
      <c r="W2" s="137"/>
      <c r="X2" s="137"/>
      <c r="Y2" s="137"/>
      <c r="Z2" s="138"/>
      <c r="AA2" s="92"/>
      <c r="AB2" s="92"/>
      <c r="AC2" s="92"/>
      <c r="AD2" s="92"/>
      <c r="AE2" s="131" t="s">
        <v>99</v>
      </c>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3"/>
      <c r="BN2" s="28" t="s">
        <v>98</v>
      </c>
    </row>
    <row r="3" spans="1:67" ht="87" x14ac:dyDescent="0.35">
      <c r="A3" s="34" t="s">
        <v>97</v>
      </c>
      <c r="B3" s="34" t="s">
        <v>64</v>
      </c>
      <c r="C3" s="34" t="str">
        <f>IF(ISBLANK('General Info'!$B$27), "UNDEFINED", 'General Info'!$B$27 &amp; "
(Declared Winner)")</f>
        <v>FOR THE TAX LEVY
(Declared Winner)</v>
      </c>
      <c r="D3" s="34" t="str">
        <f>IF(ISBLANK('General Info'!$B$28),"UNDEFINED",'General Info'!$B$28&amp;"
(Declared Loser)")</f>
        <v>AGAINST THE TAX LEVY
(Declared Loser)</v>
      </c>
      <c r="E3" s="34" t="str">
        <f>IF(ISBLANK('General Info'!$B$29), "UNDEFINED", 'General Info'!$B$29)</f>
        <v>UNDEFINED</v>
      </c>
      <c r="F3" s="34" t="str">
        <f>IF(ISBLANK('General Info'!$B$30), "UNDEFINED",'General Info'!$B$30)</f>
        <v>UNDEFINED</v>
      </c>
      <c r="G3" s="34" t="str">
        <f>IF(ISBLANK('General Info'!$B$31), "UNDEFINED",'General Info'!$B$31)</f>
        <v>UNDEFINED</v>
      </c>
      <c r="H3" s="83" t="str">
        <f>IF(ISBLANK('General Info'!$B$31), "UNDEFINED",'General Info'!$B$32)</f>
        <v>UNDEFINED</v>
      </c>
      <c r="I3" s="34" t="str">
        <f>IF(ISBLANK('General Info'!$B$31), "UNDEFINED",'General Info'!$B$33)</f>
        <v>UNDEFINED</v>
      </c>
      <c r="J3" s="34" t="str">
        <f>IF(ISBLANK('General Info'!$B$34), "UNDEFINED",'General Info'!$B$34)</f>
        <v>UNDEFINED</v>
      </c>
      <c r="K3" s="34" t="str">
        <f>IF(ISBLANK('General Info'!$B$35), "UNDEFINED",'General Info'!$B$35)</f>
        <v>UNDEFINED</v>
      </c>
      <c r="L3" s="34" t="str">
        <f>IF(ISBLANK('General Info'!$B$36), "UNDEFINED",'General Info'!$B$36)</f>
        <v>UNDEFINED</v>
      </c>
      <c r="M3" s="34" t="str">
        <f>IF(ISBLANK('General Info'!$B$37), "UNDEFINED",'General Info'!$B$37)</f>
        <v>UNDEFINED</v>
      </c>
      <c r="N3" s="34" t="str">
        <f>IF(ISBLANK('General Info'!$B$38), "UNDEFINED",'General Info'!$B$38)</f>
        <v>UNDEFINED</v>
      </c>
      <c r="O3" s="36" t="s">
        <v>6</v>
      </c>
      <c r="P3" s="36" t="s">
        <v>7</v>
      </c>
      <c r="Q3" s="36" t="s">
        <v>0</v>
      </c>
      <c r="R3" s="36" t="s">
        <v>66</v>
      </c>
      <c r="S3" s="28" t="str">
        <f>"Audit
" &amp; IF(ISBLANK('General Info'!$B$27), "UNDEFINED", 'General Info'!$B$27 &amp; "
(Winner)")</f>
        <v>Audit
FOR THE TAX LEVY
(Winner)</v>
      </c>
      <c r="T3" s="28" t="str">
        <f>"Audit
" &amp; IF(ISBLANK('General Info'!$B$28),"UNDEFINED",'General Info'!$B$28&amp;"
(Loser)")</f>
        <v>Audit
AGAINST THE TAX LEVY
(Loser)</v>
      </c>
      <c r="U3" s="28" t="str">
        <f>"Audit
" &amp; IF(ISBLANK('General Info'!$B$29), "UNDEFINED", 'General Info'!$B$29)</f>
        <v>Audit
UNDEFINED</v>
      </c>
      <c r="V3" s="28" t="str">
        <f>"Audit
" &amp; IF(ISBLANK('General Info'!$B$30), "UNDEFINED",'General Info'!$B$30)</f>
        <v>Audit
UNDEFINED</v>
      </c>
      <c r="W3" s="28" t="str">
        <f>"Audit
" &amp; IF(ISBLANK('General Info'!$B$31), "UNDEFINED",'General Info'!$B$31)</f>
        <v>Audit
UNDEFINED</v>
      </c>
      <c r="X3" s="28" t="str">
        <f>"Audit
" &amp; IF(ISBLANK('General Info'!$B$32), "UNDEFINED",'General Info'!$B$32)</f>
        <v>Audit
UNDEFINED</v>
      </c>
      <c r="Y3" s="28" t="str">
        <f>"Audit
" &amp; IF(ISBLANK('General Info'!$B$33), "UNDEFINED",'General Info'!$B$33)</f>
        <v>Audit
UNDEFINED</v>
      </c>
      <c r="Z3" s="28" t="str">
        <f>"Audit
" &amp; IF(ISBLANK('General Info'!$B$34), "UNDEFINED",'General Info'!$B$34)</f>
        <v>Audit
UNDEFINED</v>
      </c>
      <c r="AA3" s="28" t="str">
        <f>"Audit
" &amp; IF(ISBLANK('General Info'!$B$35), "UNDEFINED",'General Info'!$B$35)</f>
        <v>Audit
UNDEFINED</v>
      </c>
      <c r="AB3" s="28" t="str">
        <f>"Audit
" &amp; IF(ISBLANK('General Info'!$B$36), "UNDEFINED",'General Info'!$B$36)</f>
        <v>Audit
UNDEFINED</v>
      </c>
      <c r="AC3" s="28" t="str">
        <f>"Audit
" &amp; IF(ISBLANK('General Info'!$B$37), "UNDEFINED",'General Info'!$B$37)</f>
        <v>Audit
UNDEFINED</v>
      </c>
      <c r="AD3" s="28" t="str">
        <f>"Audit
" &amp; IF(ISBLANK('General Info'!$B$38), "UNDEFINED",'General Info'!$B$38)</f>
        <v>Audit
UNDEFINED</v>
      </c>
      <c r="AE3" s="43" t="str">
        <f>"Difference
" &amp; IF(ISBLANK('General Info'!$B$27), "UNDEFINED", 'General Info'!$B$27 &amp; "
(Winner)")</f>
        <v>Difference
FOR THE TAX LEVY
(Winner)</v>
      </c>
      <c r="AF3" s="43" t="str">
        <f>"Difference
" &amp; IF(ISBLANK('General Info'!$B$28),"UNDEFINED",'General Info'!$B$28&amp;"
(Loser)")</f>
        <v>Difference
AGAINST THE TAX LEVY
(Loser)</v>
      </c>
      <c r="AG3" s="43" t="str">
        <f>"Difference
" &amp; IF(ISBLANK('General Info'!$B$29), "UNDEFINED", 'General Info'!$B$29)</f>
        <v>Difference
UNDEFINED</v>
      </c>
      <c r="AH3" s="43" t="str">
        <f>"Difference
" &amp; IF(ISBLANK('General Info'!$B$30), "UNDEFINED",'General Info'!$B$30)</f>
        <v>Difference
UNDEFINED</v>
      </c>
      <c r="AI3" s="43" t="str">
        <f>"Difference
" &amp; IF(ISBLANK('General Info'!$B$31), "UNDEFINED",'General Info'!$B$31)</f>
        <v>Difference
UNDEFINED</v>
      </c>
      <c r="AJ3" s="43" t="str">
        <f>"Difference
" &amp; IF(ISBLANK('General Info'!$B$32), "UNDEFINED",'General Info'!$B$32)</f>
        <v>Difference
UNDEFINED</v>
      </c>
      <c r="AK3" s="43" t="str">
        <f>"Difference
" &amp; IF(ISBLANK('General Info'!$B$33), "UNDEFINED",'General Info'!$B$33)</f>
        <v>Difference
UNDEFINED</v>
      </c>
      <c r="AL3" s="43" t="str">
        <f>"Difference
" &amp; IF(ISBLANK('General Info'!$B$34), "UNDEFINED",'General Info'!$B$34)</f>
        <v>Difference
UNDEFINED</v>
      </c>
      <c r="AM3" s="43" t="str">
        <f>"Difference
" &amp; IF(ISBLANK('General Info'!$B$35), "UNDEFINED",'General Info'!$B$35)</f>
        <v>Difference
UNDEFINED</v>
      </c>
      <c r="AN3" s="43" t="str">
        <f>"Difference
" &amp; IF(ISBLANK('General Info'!$B$36), "UNDEFINED",'General Info'!$B$36)</f>
        <v>Difference
UNDEFINED</v>
      </c>
      <c r="AO3" s="43" t="str">
        <f>"Difference
" &amp; IF(ISBLANK('General Info'!$B$37), "UNDEFINED",'General Info'!$B$37)</f>
        <v>Difference
UNDEFINED</v>
      </c>
      <c r="AP3" s="43" t="str">
        <f>"Difference
" &amp; IF(ISBLANK('General Info'!$B$38), "UNDEFINED",'General Info'!$B$38)</f>
        <v>Difference
UNDEFINED</v>
      </c>
      <c r="AQ3" s="43" t="s">
        <v>35</v>
      </c>
      <c r="AR3" s="43" t="s">
        <v>36</v>
      </c>
      <c r="AS3" s="44" t="s">
        <v>37</v>
      </c>
      <c r="AT3" s="34" t="s">
        <v>65</v>
      </c>
      <c r="AU3" s="43" t="str">
        <f>IF(ISBLANK('General Info'!$B$28),"UNDEFINED","Relative Error (ep) - 
Error Rate as a proportion of the margin of victory for "&amp;'General Info'!$B$28&amp;" (Loser)")</f>
        <v>Relative Error (ep) - 
Error Rate as a proportion of the margin of victory for AGAINST THE TAX LEVY (Loser)</v>
      </c>
      <c r="AV3" s="43" t="str">
        <f>"Relative Error (ep) - " &amp; IF(ISBLANK('General Info'!$B$29),"UNDEFINED","Error Rate as a proportion of the margin of victory for " &amp; 'General Info'!$B$29)</f>
        <v>Relative Error (ep) - UNDEFINED</v>
      </c>
      <c r="AW3" s="43" t="str">
        <f>"Relative Error (ep) - " &amp; IF(ISBLANK('General Info'!$B$30),"UNDEFINED","Error Rate as a proportion of the margin of victory for " &amp; 'General Info'!$B$30)</f>
        <v>Relative Error (ep) - UNDEFINED</v>
      </c>
      <c r="AX3" s="43" t="str">
        <f>"Relative Error (ep) - " &amp; IF(ISBLANK('General Info'!$B$31),"UNDEFINED","Error Rate as a proportion of the margin of victory for " &amp; 'General Info'!$B$31)</f>
        <v>Relative Error (ep) - UNDEFINED</v>
      </c>
      <c r="AY3" s="43" t="str">
        <f>"Relative Error (ep) - " &amp; IF(ISBLANK('General Info'!$B$32),"UNDEFINED","Error Rate as a proportion of the margin of victory for " &amp; 'General Info'!$B$32)</f>
        <v>Relative Error (ep) - UNDEFINED</v>
      </c>
      <c r="AZ3" s="43" t="str">
        <f>"Relative Error (ep) - " &amp; IF(ISBLANK('General Info'!$B$33),"UNDEFINED","Error Rate as a proportion of the margin of victory for " &amp; 'General Info'!$B$33)</f>
        <v>Relative Error (ep) - UNDEFINED</v>
      </c>
      <c r="BA3" s="43" t="str">
        <f>"Relative Error (ep) - " &amp; IF(ISBLANK('General Info'!$B$34),"UNDEFINED","Error Rate as a proportion of the margin of victory for " &amp; 'General Info'!$B$34)</f>
        <v>Relative Error (ep) - UNDEFINED</v>
      </c>
      <c r="BB3" s="43" t="str">
        <f>"Relative Error (ep) - " &amp; IF(ISBLANK('General Info'!$B$35),"UNDEFINED","Error Rate as a proportion of the margin of victory for " &amp; 'General Info'!$B$35)</f>
        <v>Relative Error (ep) - UNDEFINED</v>
      </c>
      <c r="BC3" s="43" t="str">
        <f>"Relative Error (ep) - " &amp; IF(ISBLANK('General Info'!$B$36),"UNDEFINED","Error Rate as a proportion of the margin of victory for " &amp; 'General Info'!$B$36)</f>
        <v>Relative Error (ep) - UNDEFINED</v>
      </c>
      <c r="BD3" s="43" t="str">
        <f>"Relative Error (ep) - " &amp; IF(ISBLANK('General Info'!$B$37),"UNDEFINED","Error Rate as a proportion of the margin of victory for " &amp; 'General Info'!$B$37)</f>
        <v>Relative Error (ep) - UNDEFINED</v>
      </c>
      <c r="BE3" s="43" t="str">
        <f>"Relative Error (ep) - " &amp; IF(ISBLANK('General Info'!$B$38),"UNDEFINED","Error Rate as a proportion of the margin of victory for " &amp; 'General Info'!$B$38)</f>
        <v>Relative Error (ep) - UNDEFINED</v>
      </c>
      <c r="BF3" s="43" t="s">
        <v>92</v>
      </c>
      <c r="BG3" s="43" t="s">
        <v>67</v>
      </c>
      <c r="BH3" s="43" t="s">
        <v>1</v>
      </c>
      <c r="BI3" s="43" t="s">
        <v>3</v>
      </c>
      <c r="BJ3" s="43" t="s">
        <v>2</v>
      </c>
      <c r="BK3" s="45" t="s">
        <v>17</v>
      </c>
      <c r="BL3" s="43" t="s">
        <v>4</v>
      </c>
      <c r="BM3" s="43" t="s">
        <v>38</v>
      </c>
      <c r="BN3" s="46" t="s">
        <v>43</v>
      </c>
    </row>
    <row r="4" spans="1:67" s="1" customFormat="1" ht="18.75" customHeight="1" x14ac:dyDescent="0.35">
      <c r="A4" s="35" t="s">
        <v>96</v>
      </c>
      <c r="B4" s="35" t="s">
        <v>55</v>
      </c>
      <c r="C4" s="37" t="s">
        <v>47</v>
      </c>
      <c r="D4" s="37" t="s">
        <v>61</v>
      </c>
      <c r="E4" s="37" t="s">
        <v>62</v>
      </c>
      <c r="F4" s="37" t="s">
        <v>63</v>
      </c>
      <c r="G4" s="37" t="s">
        <v>52</v>
      </c>
      <c r="H4" s="86" t="s">
        <v>53</v>
      </c>
      <c r="I4" s="37" t="s">
        <v>167</v>
      </c>
      <c r="J4" s="37" t="s">
        <v>166</v>
      </c>
      <c r="K4" s="37" t="s">
        <v>188</v>
      </c>
      <c r="L4" s="37" t="s">
        <v>189</v>
      </c>
      <c r="M4" s="37" t="s">
        <v>190</v>
      </c>
      <c r="N4" s="37" t="s">
        <v>191</v>
      </c>
      <c r="O4" s="37" t="s">
        <v>6</v>
      </c>
      <c r="P4" s="37" t="s">
        <v>7</v>
      </c>
      <c r="Q4" s="37" t="s">
        <v>0</v>
      </c>
      <c r="R4" s="37" t="s">
        <v>58</v>
      </c>
      <c r="S4" s="38" t="s">
        <v>69</v>
      </c>
      <c r="T4" s="38" t="s">
        <v>68</v>
      </c>
      <c r="U4" s="38" t="s">
        <v>70</v>
      </c>
      <c r="V4" s="38" t="s">
        <v>71</v>
      </c>
      <c r="W4" s="38" t="s">
        <v>72</v>
      </c>
      <c r="X4" s="38" t="s">
        <v>73</v>
      </c>
      <c r="Y4" s="38" t="s">
        <v>171</v>
      </c>
      <c r="Z4" s="38" t="s">
        <v>170</v>
      </c>
      <c r="AA4" s="38" t="s">
        <v>196</v>
      </c>
      <c r="AB4" s="38" t="s">
        <v>197</v>
      </c>
      <c r="AC4" s="38" t="s">
        <v>198</v>
      </c>
      <c r="AD4" s="38" t="s">
        <v>199</v>
      </c>
      <c r="AE4" s="39" t="s">
        <v>34</v>
      </c>
      <c r="AF4" s="39" t="s">
        <v>33</v>
      </c>
      <c r="AG4" s="39" t="s">
        <v>76</v>
      </c>
      <c r="AH4" s="39" t="s">
        <v>77</v>
      </c>
      <c r="AI4" s="39" t="s">
        <v>78</v>
      </c>
      <c r="AJ4" s="39" t="s">
        <v>79</v>
      </c>
      <c r="AK4" s="39" t="s">
        <v>175</v>
      </c>
      <c r="AL4" s="39" t="s">
        <v>174</v>
      </c>
      <c r="AM4" s="39" t="s">
        <v>200</v>
      </c>
      <c r="AN4" s="39" t="s">
        <v>201</v>
      </c>
      <c r="AO4" s="39" t="s">
        <v>202</v>
      </c>
      <c r="AP4" s="39" t="s">
        <v>203</v>
      </c>
      <c r="AQ4" s="39" t="s">
        <v>35</v>
      </c>
      <c r="AR4" s="39" t="s">
        <v>36</v>
      </c>
      <c r="AS4" s="40" t="s">
        <v>37</v>
      </c>
      <c r="AT4" s="35" t="s">
        <v>56</v>
      </c>
      <c r="AU4" s="33" t="s">
        <v>80</v>
      </c>
      <c r="AV4" s="33" t="s">
        <v>81</v>
      </c>
      <c r="AW4" s="33" t="s">
        <v>82</v>
      </c>
      <c r="AX4" s="33" t="s">
        <v>83</v>
      </c>
      <c r="AY4" s="33" t="s">
        <v>178</v>
      </c>
      <c r="AZ4" s="33" t="s">
        <v>177</v>
      </c>
      <c r="BA4" s="33" t="s">
        <v>176</v>
      </c>
      <c r="BB4" s="33" t="s">
        <v>204</v>
      </c>
      <c r="BC4" s="33" t="s">
        <v>205</v>
      </c>
      <c r="BD4" s="33" t="s">
        <v>206</v>
      </c>
      <c r="BE4" s="33" t="s">
        <v>207</v>
      </c>
      <c r="BF4" s="33" t="s">
        <v>92</v>
      </c>
      <c r="BG4" s="33" t="s">
        <v>84</v>
      </c>
      <c r="BH4" s="33" t="s">
        <v>1</v>
      </c>
      <c r="BI4" s="33" t="s">
        <v>74</v>
      </c>
      <c r="BJ4" s="33" t="s">
        <v>2</v>
      </c>
      <c r="BK4" s="41" t="s">
        <v>17</v>
      </c>
      <c r="BL4" s="33" t="s">
        <v>75</v>
      </c>
      <c r="BM4" s="33" t="s">
        <v>38</v>
      </c>
      <c r="BN4" s="42" t="s">
        <v>43</v>
      </c>
    </row>
    <row r="5" spans="1:67" ht="14.5" hidden="1" x14ac:dyDescent="0.35">
      <c r="A5" s="78" t="str">
        <f>'Sampling Data'!AI5</f>
        <v/>
      </c>
      <c r="B5" s="78" t="str">
        <f>'Sampling Data'!A5</f>
        <v>2823 BLUE 2-C   (AV)</v>
      </c>
      <c r="C5" s="78">
        <f>'Sampling Data'!B5</f>
        <v>0</v>
      </c>
      <c r="D5" s="78">
        <f>'Sampling Data'!C5</f>
        <v>0</v>
      </c>
      <c r="E5" s="79">
        <f>'Sampling Data'!D5</f>
        <v>0</v>
      </c>
      <c r="F5" s="79">
        <f>'Sampling Data'!E5</f>
        <v>0</v>
      </c>
      <c r="G5" s="79">
        <f>'Sampling Data'!F5</f>
        <v>0</v>
      </c>
      <c r="H5" s="19">
        <f>'Sampling Data'!G5</f>
        <v>0</v>
      </c>
      <c r="I5" s="19">
        <f>'Sampling Data'!H5</f>
        <v>0</v>
      </c>
      <c r="J5" s="79">
        <f>'Sampling Data'!I5</f>
        <v>0</v>
      </c>
      <c r="K5" s="79">
        <f>'Sampling Data'!J5</f>
        <v>0</v>
      </c>
      <c r="L5" s="79">
        <f>'Sampling Data'!K5</f>
        <v>0</v>
      </c>
      <c r="M5" s="79">
        <f>'Sampling Data'!L5</f>
        <v>0</v>
      </c>
      <c r="N5" s="79">
        <f>'Sampling Data'!M5</f>
        <v>0</v>
      </c>
      <c r="O5" s="78">
        <f>'Sampling Data'!N5</f>
        <v>0</v>
      </c>
      <c r="P5" s="78">
        <f>'Sampling Data'!O5</f>
        <v>0</v>
      </c>
      <c r="Q5" s="78">
        <f>'Sampling Data'!P5</f>
        <v>0</v>
      </c>
      <c r="R5" s="78">
        <f>'Sampling Data'!AJ5</f>
        <v>0</v>
      </c>
      <c r="S5" s="80"/>
      <c r="T5" s="80"/>
      <c r="U5" s="81"/>
      <c r="V5" s="81"/>
      <c r="W5" s="80"/>
      <c r="X5" s="80"/>
      <c r="Y5" s="80"/>
      <c r="Z5" s="80"/>
      <c r="AA5" s="80"/>
      <c r="AB5" s="80"/>
      <c r="AC5" s="80"/>
      <c r="AD5" s="80"/>
      <c r="AE5" s="78" t="str">
        <f>IF(NOT(ISBLANK(Audit[[#This Row],[Audit Winning Candidate]])), Audit[[#This Row],[Audit Winning Candidate]]-Audit[[#This Row],[Winning Candidate]], "")</f>
        <v/>
      </c>
      <c r="AF5" s="78" t="str">
        <f>IF(NOT(ISBLANK(Audit[[#This Row],[Audit Losing Candidate]])), Audit[[#This Row],[Audit Losing Candidate]]-Audit[[#This Row],[Losing Candidate]], "")</f>
        <v/>
      </c>
      <c r="AG5" s="78" t="str">
        <f>IF(NOT(ISBLANK(Audit[[#This Row],[Audit Candidate 3]])), Audit[[#This Row],[Audit Candidate 3]]-Audit[[#This Row],[Candidate 3]], "")</f>
        <v/>
      </c>
      <c r="AH5" s="78" t="str">
        <f>IF(NOT(ISBLANK(Audit[[#This Row],[Audit Candidate 4]])),Audit[[#This Row],[Audit Candidate 4]]-Audit[[#This Row],[Candidate 4]], "")</f>
        <v/>
      </c>
      <c r="AI5" s="78" t="str">
        <f>IF(NOT(ISBLANK(Audit[[#This Row],[Audit Candidate 5]])), Audit[[#This Row],[Audit Candidate 5]]-Audit[[#This Row],[Candidate 5]], "")</f>
        <v/>
      </c>
      <c r="AJ5" s="18" t="str">
        <f>IF(NOT(ISBLANK(Audit[[#This Row],[Audit Candidate 6]])), Audit[[#This Row],[Audit Candidate 6]]-Audit[[#This Row],[Candidate 6]], "")</f>
        <v/>
      </c>
      <c r="AK5" s="18" t="str">
        <f>IF(NOT(ISBLANK(Audit[[#This Row],[Audit Candidate 7]])), Audit[[#This Row],[Audit Candidate 7]]-Audit[[#This Row],[Candidate 7]], "")</f>
        <v/>
      </c>
      <c r="AL5" s="78" t="str">
        <f>IF(NOT(ISBLANK(Audit[[#This Row],[Audit Candidate 8]])), Audit[[#This Row],[Audit Candidate 8]]-Audit[[#This Row],[Candidate 8]], "")</f>
        <v/>
      </c>
      <c r="AM5" s="78" t="str">
        <f>IF(NOT(ISBLANK(Audit[[#This Row],[Audit Candidate 9]])), Audit[[#This Row],[Audit Candidate 9]]-Audit[[#This Row],[Candidate 9]], "")</f>
        <v/>
      </c>
      <c r="AN5" s="78" t="str">
        <f>IF(NOT(ISBLANK(Audit[[#This Row],[Audit Candidate 10]])), Audit[[#This Row],[Audit Candidate 10]]-Audit[[#This Row],[Candidate 10]], "")</f>
        <v/>
      </c>
      <c r="AO5" s="78" t="str">
        <f>IF(NOT(ISBLANK(Audit[[#This Row],[Audit Candidate 11]])), Audit[[#This Row],[Audit Candidate 11]]-Audit[[#This Row],[Candidate 11]], "")</f>
        <v/>
      </c>
      <c r="AP5" s="78" t="str">
        <f>IF(NOT(ISBLANK(Audit[[#This Row],[Audit Candidate 12]])), Audit[[#This Row],[Audit Candidate 12]]-Audit[[#This Row],[Candidate 12]], "")</f>
        <v/>
      </c>
      <c r="AQ5" s="78">
        <f>SUMIF(Audit[[#This Row],[Difference Winner]:[Difference Candidate 12]], "&gt;0")</f>
        <v>0</v>
      </c>
      <c r="AR5" s="78">
        <f>SUM(Audit[[#This Row],[Difference Winner]:[Difference Candidate 12]])</f>
        <v>0</v>
      </c>
      <c r="AS5" s="78">
        <f>IF(Audit[[#This Row],[Times p Drawn - With Replacement]]&gt;0, IF(Audit[[#This Row],[Canceled Differences]]&lt;0, Audit[[#This Row],[Max Differences]]+ABS(Audit[[#This Row],[Canceled Differences]]), Audit[[#This Row],[Max Differences]]), 0)</f>
        <v>0</v>
      </c>
      <c r="AT5" s="78">
        <f>'Sampling Data'!AB5</f>
        <v>0</v>
      </c>
      <c r="AU5" s="78">
        <f>IF(
      SUM(Audit[[#This Row],[Audit Losing Candidate]:[Audit Candidate 12]])
      &lt;&gt;0,
      (Audit[[#This Row],[Winning Candidate]]-Audit[[#This Row],[Losing Candidate]]-(Audit[[#This Row],[Audit Winning Candidate]]-Audit[[#This Row],[Audit Losing Candidate]]))/(Audit[[#Totals],[Winning Candidate]]-Audit[[#Totals],[Losing Candidate]]),
      0
)</f>
        <v>0</v>
      </c>
      <c r="AV5"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 s="78">
        <f>IF(Audit[[#This Row],[Max Relative Error (ep)]] = 0, 0, Audit[[#This Row],[Max Relative Error (ep)]]/Audit[[#This Row],[Error Bound (up) - Max. possible relative overstatement]])</f>
        <v>0</v>
      </c>
      <c r="BH5"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5" s="78">
        <f t="shared" ref="BI5:BI14" si="0">IF(ISERR(POWER(BH5,R5)), 0, POWER(BH5,R5))</f>
        <v>1</v>
      </c>
      <c r="BJ5" s="78">
        <f>PRODUCT($BI$5:BI5)</f>
        <v>1</v>
      </c>
      <c r="BK5" s="76">
        <f>1 - Audit[[#This Row],[K-M P Value]]</f>
        <v>0</v>
      </c>
      <c r="BL5" s="78" t="str">
        <f>IF(Audit[[#This Row],[K-M P Value]]&gt;1-'General Info'!$B$12,"Continue", "Stop")</f>
        <v>Continue</v>
      </c>
      <c r="BM5" s="82" t="b">
        <f>IF(Audit[[#This Row],[Status - Continue or stop audit]] = "Continue", TRUE, IF(BL4 = "Continue", TRUE, FALSE))</f>
        <v>1</v>
      </c>
      <c r="BN5" s="82"/>
    </row>
    <row r="6" spans="1:67" ht="14.5" hidden="1" x14ac:dyDescent="0.35">
      <c r="A6" s="18" t="str">
        <f>'Sampling Data'!AI6</f>
        <v/>
      </c>
      <c r="B6" s="18" t="str">
        <f>'Sampling Data'!A6</f>
        <v>4911 SHAR 1-A   (AV)</v>
      </c>
      <c r="C6" s="19">
        <f>'Sampling Data'!B6</f>
        <v>4</v>
      </c>
      <c r="D6" s="19">
        <f>'Sampling Data'!C6</f>
        <v>9</v>
      </c>
      <c r="E6" s="19">
        <f>'Sampling Data'!D6</f>
        <v>0</v>
      </c>
      <c r="F6" s="19">
        <f>'Sampling Data'!E6</f>
        <v>0</v>
      </c>
      <c r="G6" s="19">
        <f>'Sampling Data'!F6</f>
        <v>0</v>
      </c>
      <c r="H6" s="19">
        <f>'Sampling Data'!G6</f>
        <v>0</v>
      </c>
      <c r="I6" s="19">
        <f>'Sampling Data'!H6</f>
        <v>0</v>
      </c>
      <c r="J6" s="19">
        <f>'Sampling Data'!I6</f>
        <v>0</v>
      </c>
      <c r="K6" s="19">
        <f>'Sampling Data'!J6</f>
        <v>0</v>
      </c>
      <c r="L6" s="19">
        <f>'Sampling Data'!K6</f>
        <v>0</v>
      </c>
      <c r="M6" s="19">
        <f>'Sampling Data'!L6</f>
        <v>0</v>
      </c>
      <c r="N6" s="19">
        <f>'Sampling Data'!M6</f>
        <v>0</v>
      </c>
      <c r="O6" s="19">
        <f>'Sampling Data'!N6</f>
        <v>0</v>
      </c>
      <c r="P6" s="19">
        <f>'Sampling Data'!O6</f>
        <v>0</v>
      </c>
      <c r="Q6" s="19">
        <f>'Sampling Data'!P6</f>
        <v>13</v>
      </c>
      <c r="R6" s="18">
        <f>'Sampling Data'!AJ6</f>
        <v>0</v>
      </c>
      <c r="S6" s="15"/>
      <c r="T6" s="15"/>
      <c r="U6" s="15"/>
      <c r="V6" s="15"/>
      <c r="W6" s="15"/>
      <c r="X6" s="15"/>
      <c r="Y6" s="15"/>
      <c r="Z6" s="15"/>
      <c r="AA6" s="15"/>
      <c r="AB6" s="15"/>
      <c r="AC6" s="15"/>
      <c r="AD6" s="15"/>
      <c r="AE6" s="18" t="str">
        <f>IF(NOT(ISBLANK(Audit[[#This Row],[Audit Winning Candidate]])), Audit[[#This Row],[Audit Winning Candidate]]-Audit[[#This Row],[Winning Candidate]], "")</f>
        <v/>
      </c>
      <c r="AF6" s="18" t="str">
        <f>IF(NOT(ISBLANK(Audit[[#This Row],[Audit Losing Candidate]])), Audit[[#This Row],[Audit Losing Candidate]]-Audit[[#This Row],[Losing Candidate]], "")</f>
        <v/>
      </c>
      <c r="AG6" s="18" t="str">
        <f>IF(NOT(ISBLANK(Audit[[#This Row],[Audit Candidate 3]])), Audit[[#This Row],[Audit Candidate 3]]-Audit[[#This Row],[Candidate 3]], "")</f>
        <v/>
      </c>
      <c r="AH6" s="18" t="str">
        <f>IF(NOT(ISBLANK(Audit[[#This Row],[Audit Candidate 4]])),Audit[[#This Row],[Audit Candidate 4]]-Audit[[#This Row],[Candidate 4]], "")</f>
        <v/>
      </c>
      <c r="AI6" s="18" t="str">
        <f>IF(NOT(ISBLANK(Audit[[#This Row],[Audit Candidate 5]])), Audit[[#This Row],[Audit Candidate 5]]-Audit[[#This Row],[Candidate 5]], "")</f>
        <v/>
      </c>
      <c r="AJ6" s="18" t="str">
        <f>IF(NOT(ISBLANK(Audit[[#This Row],[Audit Candidate 6]])), Audit[[#This Row],[Audit Candidate 6]]-Audit[[#This Row],[Candidate 6]], "")</f>
        <v/>
      </c>
      <c r="AK6" s="18" t="str">
        <f>IF(NOT(ISBLANK(Audit[[#This Row],[Audit Candidate 7]])), Audit[[#This Row],[Audit Candidate 7]]-Audit[[#This Row],[Candidate 7]], "")</f>
        <v/>
      </c>
      <c r="AL6" s="18" t="str">
        <f>IF(NOT(ISBLANK(Audit[[#This Row],[Audit Candidate 8]])), Audit[[#This Row],[Audit Candidate 8]]-Audit[[#This Row],[Candidate 8]], "")</f>
        <v/>
      </c>
      <c r="AM6" s="18" t="str">
        <f>IF(NOT(ISBLANK(Audit[[#This Row],[Audit Candidate 9]])), Audit[[#This Row],[Audit Candidate 9]]-Audit[[#This Row],[Candidate 9]], "")</f>
        <v/>
      </c>
      <c r="AN6" s="18" t="str">
        <f>IF(NOT(ISBLANK(Audit[[#This Row],[Audit Candidate 10]])), Audit[[#This Row],[Audit Candidate 10]]-Audit[[#This Row],[Candidate 10]], "")</f>
        <v/>
      </c>
      <c r="AO6" s="18" t="str">
        <f>IF(NOT(ISBLANK(Audit[[#This Row],[Audit Candidate 11]])), Audit[[#This Row],[Audit Candidate 11]]-Audit[[#This Row],[Candidate 11]], "")</f>
        <v/>
      </c>
      <c r="AP6" s="18" t="str">
        <f>IF(NOT(ISBLANK(Audit[[#This Row],[Audit Candidate 12]])), Audit[[#This Row],[Audit Candidate 12]]-Audit[[#This Row],[Candidate 12]], "")</f>
        <v/>
      </c>
      <c r="AQ6" s="18">
        <f>SUMIF(Audit[[#This Row],[Difference Winner]:[Difference Candidate 12]], "&gt;0")</f>
        <v>0</v>
      </c>
      <c r="AR6" s="18">
        <f>SUM(Audit[[#This Row],[Difference Winner]:[Difference Candidate 12]])</f>
        <v>0</v>
      </c>
      <c r="AS6" s="18">
        <f>IF(Audit[[#This Row],[Times p Drawn - With Replacement]]&gt;0, IF(Audit[[#This Row],[Canceled Differences]]&lt;0, Audit[[#This Row],[Max Differences]]+ABS(Audit[[#This Row],[Canceled Differences]]), Audit[[#This Row],[Max Differences]]), 0)</f>
        <v>0</v>
      </c>
      <c r="AT6" s="18">
        <f>'Sampling Data'!AB6</f>
        <v>1.6913319238900635E-2</v>
      </c>
      <c r="AU6" s="18">
        <f>IF(
      SUM(Audit[[#This Row],[Audit Losing Candidate]:[Audit Candidate 12]])
      &lt;&gt;0,
      (Audit[[#This Row],[Winning Candidate]]-Audit[[#This Row],[Losing Candidate]]-(Audit[[#This Row],[Audit Winning Candidate]]-Audit[[#This Row],[Audit Losing Candidate]]))/(Audit[[#Totals],[Winning Candidate]]-Audit[[#Totals],[Losing Candidate]]),
      0
)</f>
        <v>0</v>
      </c>
      <c r="AV6"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 s="18">
        <f>IF(Audit[[#This Row],[Max Relative Error (ep)]] = 0, 0, Audit[[#This Row],[Max Relative Error (ep)]]/Audit[[#This Row],[Error Bound (up) - Max. possible relative overstatement]])</f>
        <v>0</v>
      </c>
      <c r="BH6"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6" s="18">
        <f t="shared" si="0"/>
        <v>1</v>
      </c>
      <c r="BJ6" s="18">
        <f>PRODUCT($BI$5:BI6)</f>
        <v>1</v>
      </c>
      <c r="BK6" s="20">
        <f>1 - Audit[[#This Row],[K-M P Value]]</f>
        <v>0</v>
      </c>
      <c r="BL6" s="18" t="str">
        <f>IF(Audit[[#This Row],[K-M P Value]]&gt;1-'General Info'!$B$12,"Continue", "Stop")</f>
        <v>Continue</v>
      </c>
      <c r="BM6" s="21" t="b">
        <f>IF(Audit[[#This Row],[Status - Continue or stop audit]] = "Continue", TRUE, IF(BL5 = "Continue", TRUE, FALSE))</f>
        <v>1</v>
      </c>
      <c r="BN6" s="21"/>
    </row>
    <row r="7" spans="1:67" ht="14.5" hidden="1" x14ac:dyDescent="0.35">
      <c r="A7" s="78" t="str">
        <f>'Sampling Data'!AI7</f>
        <v/>
      </c>
      <c r="B7" s="78" t="str">
        <f>'Sampling Data'!A7</f>
        <v>4912 SHAR 1-B   (AV)</v>
      </c>
      <c r="C7" s="78">
        <f>'Sampling Data'!B7</f>
        <v>14</v>
      </c>
      <c r="D7" s="78">
        <f>'Sampling Data'!C7</f>
        <v>0</v>
      </c>
      <c r="E7" s="79">
        <f>'Sampling Data'!D7</f>
        <v>0</v>
      </c>
      <c r="F7" s="79">
        <f>'Sampling Data'!E7</f>
        <v>0</v>
      </c>
      <c r="G7" s="79">
        <f>'Sampling Data'!F7</f>
        <v>0</v>
      </c>
      <c r="H7" s="19">
        <f>'Sampling Data'!G7</f>
        <v>0</v>
      </c>
      <c r="I7" s="19">
        <f>'Sampling Data'!H7</f>
        <v>0</v>
      </c>
      <c r="J7" s="79">
        <f>'Sampling Data'!I7</f>
        <v>0</v>
      </c>
      <c r="K7" s="79">
        <f>'Sampling Data'!J7</f>
        <v>0</v>
      </c>
      <c r="L7" s="79">
        <f>'Sampling Data'!K7</f>
        <v>0</v>
      </c>
      <c r="M7" s="79">
        <f>'Sampling Data'!L7</f>
        <v>0</v>
      </c>
      <c r="N7" s="79">
        <f>'Sampling Data'!M7</f>
        <v>0</v>
      </c>
      <c r="O7" s="78">
        <f>'Sampling Data'!N7</f>
        <v>0</v>
      </c>
      <c r="P7" s="78">
        <f>'Sampling Data'!O7</f>
        <v>1</v>
      </c>
      <c r="Q7" s="78">
        <f>'Sampling Data'!P7</f>
        <v>15</v>
      </c>
      <c r="R7" s="78">
        <f>'Sampling Data'!AJ7</f>
        <v>0</v>
      </c>
      <c r="S7" s="80"/>
      <c r="T7" s="80"/>
      <c r="U7" s="81"/>
      <c r="V7" s="81"/>
      <c r="W7" s="80"/>
      <c r="X7" s="80"/>
      <c r="Y7" s="80"/>
      <c r="Z7" s="80"/>
      <c r="AA7" s="80"/>
      <c r="AB7" s="80"/>
      <c r="AC7" s="80"/>
      <c r="AD7" s="80"/>
      <c r="AE7" s="78" t="str">
        <f>IF(NOT(ISBLANK(Audit[[#This Row],[Audit Winning Candidate]])), Audit[[#This Row],[Audit Winning Candidate]]-Audit[[#This Row],[Winning Candidate]], "")</f>
        <v/>
      </c>
      <c r="AF7" s="78" t="str">
        <f>IF(NOT(ISBLANK(Audit[[#This Row],[Audit Losing Candidate]])), Audit[[#This Row],[Audit Losing Candidate]]-Audit[[#This Row],[Losing Candidate]], "")</f>
        <v/>
      </c>
      <c r="AG7" s="78" t="str">
        <f>IF(NOT(ISBLANK(Audit[[#This Row],[Audit Candidate 3]])), Audit[[#This Row],[Audit Candidate 3]]-Audit[[#This Row],[Candidate 3]], "")</f>
        <v/>
      </c>
      <c r="AH7" s="78" t="str">
        <f>IF(NOT(ISBLANK(Audit[[#This Row],[Audit Candidate 4]])),Audit[[#This Row],[Audit Candidate 4]]-Audit[[#This Row],[Candidate 4]], "")</f>
        <v/>
      </c>
      <c r="AI7" s="78" t="str">
        <f>IF(NOT(ISBLANK(Audit[[#This Row],[Audit Candidate 5]])), Audit[[#This Row],[Audit Candidate 5]]-Audit[[#This Row],[Candidate 5]], "")</f>
        <v/>
      </c>
      <c r="AJ7" s="18" t="str">
        <f>IF(NOT(ISBLANK(Audit[[#This Row],[Audit Candidate 6]])), Audit[[#This Row],[Audit Candidate 6]]-Audit[[#This Row],[Candidate 6]], "")</f>
        <v/>
      </c>
      <c r="AK7" s="18" t="str">
        <f>IF(NOT(ISBLANK(Audit[[#This Row],[Audit Candidate 7]])), Audit[[#This Row],[Audit Candidate 7]]-Audit[[#This Row],[Candidate 7]], "")</f>
        <v/>
      </c>
      <c r="AL7" s="78" t="str">
        <f>IF(NOT(ISBLANK(Audit[[#This Row],[Audit Candidate 8]])), Audit[[#This Row],[Audit Candidate 8]]-Audit[[#This Row],[Candidate 8]], "")</f>
        <v/>
      </c>
      <c r="AM7" s="78" t="str">
        <f>IF(NOT(ISBLANK(Audit[[#This Row],[Audit Candidate 9]])), Audit[[#This Row],[Audit Candidate 9]]-Audit[[#This Row],[Candidate 9]], "")</f>
        <v/>
      </c>
      <c r="AN7" s="78" t="str">
        <f>IF(NOT(ISBLANK(Audit[[#This Row],[Audit Candidate 10]])), Audit[[#This Row],[Audit Candidate 10]]-Audit[[#This Row],[Candidate 10]], "")</f>
        <v/>
      </c>
      <c r="AO7" s="78" t="str">
        <f>IF(NOT(ISBLANK(Audit[[#This Row],[Audit Candidate 11]])), Audit[[#This Row],[Audit Candidate 11]]-Audit[[#This Row],[Candidate 11]], "")</f>
        <v/>
      </c>
      <c r="AP7" s="78" t="str">
        <f>IF(NOT(ISBLANK(Audit[[#This Row],[Audit Candidate 12]])), Audit[[#This Row],[Audit Candidate 12]]-Audit[[#This Row],[Candidate 12]], "")</f>
        <v/>
      </c>
      <c r="AQ7" s="78">
        <f>SUMIF(Audit[[#This Row],[Difference Winner]:[Difference Candidate 12]], "&gt;0")</f>
        <v>0</v>
      </c>
      <c r="AR7" s="78">
        <f>SUM(Audit[[#This Row],[Difference Winner]:[Difference Candidate 12]])</f>
        <v>0</v>
      </c>
      <c r="AS7" s="78">
        <f>IF(Audit[[#This Row],[Times p Drawn - With Replacement]]&gt;0, IF(Audit[[#This Row],[Canceled Differences]]&lt;0, Audit[[#This Row],[Max Differences]]+ABS(Audit[[#This Row],[Canceled Differences]]), Audit[[#This Row],[Max Differences]]), 0)</f>
        <v>0</v>
      </c>
      <c r="AT7" s="78">
        <f>'Sampling Data'!AB7</f>
        <v>6.13107822410148E-2</v>
      </c>
      <c r="AU7" s="78">
        <f>IF(
      SUM(Audit[[#This Row],[Audit Losing Candidate]:[Audit Candidate 12]])
      &lt;&gt;0,
      (Audit[[#This Row],[Winning Candidate]]-Audit[[#This Row],[Losing Candidate]]-(Audit[[#This Row],[Audit Winning Candidate]]-Audit[[#This Row],[Audit Losing Candidate]]))/(Audit[[#Totals],[Winning Candidate]]-Audit[[#Totals],[Losing Candidate]]),
      0
)</f>
        <v>0</v>
      </c>
      <c r="AV7"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7"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7"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7"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7"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7"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7"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7"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7"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7"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7"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7" s="78">
        <f>IF(Audit[[#This Row],[Max Relative Error (ep)]] = 0, 0, Audit[[#This Row],[Max Relative Error (ep)]]/Audit[[#This Row],[Error Bound (up) - Max. possible relative overstatement]])</f>
        <v>0</v>
      </c>
      <c r="BH7"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7" s="78">
        <f t="shared" si="0"/>
        <v>1</v>
      </c>
      <c r="BJ7" s="78">
        <f>PRODUCT($BI$5:BI7)</f>
        <v>1</v>
      </c>
      <c r="BK7" s="76">
        <f>1 - Audit[[#This Row],[K-M P Value]]</f>
        <v>0</v>
      </c>
      <c r="BL7" s="78" t="str">
        <f>IF(Audit[[#This Row],[K-M P Value]]&gt;1-'General Info'!$B$12,"Continue", "Stop")</f>
        <v>Continue</v>
      </c>
      <c r="BM7" s="82" t="b">
        <f>IF(Audit[[#This Row],[Status - Continue or stop audit]] = "Continue", TRUE, IF(BL6 = "Continue", TRUE, FALSE))</f>
        <v>1</v>
      </c>
      <c r="BN7" s="82"/>
    </row>
    <row r="8" spans="1:67" ht="14.5" hidden="1" x14ac:dyDescent="0.35">
      <c r="A8" s="18" t="str">
        <f>'Sampling Data'!AI8</f>
        <v/>
      </c>
      <c r="B8" s="18" t="str">
        <f>'Sampling Data'!A8</f>
        <v>4921 SHAR 2-A   (AV)</v>
      </c>
      <c r="C8" s="19">
        <f>'Sampling Data'!B8</f>
        <v>14</v>
      </c>
      <c r="D8" s="19">
        <f>'Sampling Data'!C8</f>
        <v>10</v>
      </c>
      <c r="E8" s="19">
        <f>'Sampling Data'!D8</f>
        <v>0</v>
      </c>
      <c r="F8" s="19">
        <f>'Sampling Data'!E8</f>
        <v>0</v>
      </c>
      <c r="G8" s="19">
        <f>'Sampling Data'!F8</f>
        <v>0</v>
      </c>
      <c r="H8" s="19">
        <f>'Sampling Data'!G8</f>
        <v>0</v>
      </c>
      <c r="I8" s="19">
        <f>'Sampling Data'!H8</f>
        <v>0</v>
      </c>
      <c r="J8" s="19">
        <f>'Sampling Data'!I8</f>
        <v>0</v>
      </c>
      <c r="K8" s="19">
        <f>'Sampling Data'!J8</f>
        <v>0</v>
      </c>
      <c r="L8" s="19">
        <f>'Sampling Data'!K8</f>
        <v>0</v>
      </c>
      <c r="M8" s="19">
        <f>'Sampling Data'!L8</f>
        <v>0</v>
      </c>
      <c r="N8" s="19">
        <f>'Sampling Data'!M8</f>
        <v>0</v>
      </c>
      <c r="O8" s="19">
        <f>'Sampling Data'!N8</f>
        <v>0</v>
      </c>
      <c r="P8" s="19">
        <f>'Sampling Data'!O8</f>
        <v>0</v>
      </c>
      <c r="Q8" s="19">
        <f>'Sampling Data'!P8</f>
        <v>24</v>
      </c>
      <c r="R8" s="18">
        <f>'Sampling Data'!AJ8</f>
        <v>0</v>
      </c>
      <c r="S8" s="15"/>
      <c r="T8" s="15"/>
      <c r="U8" s="15"/>
      <c r="V8" s="15"/>
      <c r="W8" s="15"/>
      <c r="X8" s="15"/>
      <c r="Y8" s="15"/>
      <c r="Z8" s="15"/>
      <c r="AA8" s="15"/>
      <c r="AB8" s="15"/>
      <c r="AC8" s="15"/>
      <c r="AD8" s="15"/>
      <c r="AE8" s="18" t="str">
        <f>IF(NOT(ISBLANK(Audit[[#This Row],[Audit Winning Candidate]])), Audit[[#This Row],[Audit Winning Candidate]]-Audit[[#This Row],[Winning Candidate]], "")</f>
        <v/>
      </c>
      <c r="AF8" s="18" t="str">
        <f>IF(NOT(ISBLANK(Audit[[#This Row],[Audit Losing Candidate]])), Audit[[#This Row],[Audit Losing Candidate]]-Audit[[#This Row],[Losing Candidate]], "")</f>
        <v/>
      </c>
      <c r="AG8" s="18" t="str">
        <f>IF(NOT(ISBLANK(Audit[[#This Row],[Audit Candidate 3]])), Audit[[#This Row],[Audit Candidate 3]]-Audit[[#This Row],[Candidate 3]], "")</f>
        <v/>
      </c>
      <c r="AH8" s="18" t="str">
        <f>IF(NOT(ISBLANK(Audit[[#This Row],[Audit Candidate 4]])),Audit[[#This Row],[Audit Candidate 4]]-Audit[[#This Row],[Candidate 4]], "")</f>
        <v/>
      </c>
      <c r="AI8" s="18" t="str">
        <f>IF(NOT(ISBLANK(Audit[[#This Row],[Audit Candidate 5]])), Audit[[#This Row],[Audit Candidate 5]]-Audit[[#This Row],[Candidate 5]], "")</f>
        <v/>
      </c>
      <c r="AJ8" s="18" t="str">
        <f>IF(NOT(ISBLANK(Audit[[#This Row],[Audit Candidate 6]])), Audit[[#This Row],[Audit Candidate 6]]-Audit[[#This Row],[Candidate 6]], "")</f>
        <v/>
      </c>
      <c r="AK8" s="18" t="str">
        <f>IF(NOT(ISBLANK(Audit[[#This Row],[Audit Candidate 7]])), Audit[[#This Row],[Audit Candidate 7]]-Audit[[#This Row],[Candidate 7]], "")</f>
        <v/>
      </c>
      <c r="AL8" s="18" t="str">
        <f>IF(NOT(ISBLANK(Audit[[#This Row],[Audit Candidate 8]])), Audit[[#This Row],[Audit Candidate 8]]-Audit[[#This Row],[Candidate 8]], "")</f>
        <v/>
      </c>
      <c r="AM8" s="18" t="str">
        <f>IF(NOT(ISBLANK(Audit[[#This Row],[Audit Candidate 9]])), Audit[[#This Row],[Audit Candidate 9]]-Audit[[#This Row],[Candidate 9]], "")</f>
        <v/>
      </c>
      <c r="AN8" s="18" t="str">
        <f>IF(NOT(ISBLANK(Audit[[#This Row],[Audit Candidate 10]])), Audit[[#This Row],[Audit Candidate 10]]-Audit[[#This Row],[Candidate 10]], "")</f>
        <v/>
      </c>
      <c r="AO8" s="18" t="str">
        <f>IF(NOT(ISBLANK(Audit[[#This Row],[Audit Candidate 11]])), Audit[[#This Row],[Audit Candidate 11]]-Audit[[#This Row],[Candidate 11]], "")</f>
        <v/>
      </c>
      <c r="AP8" s="18" t="str">
        <f>IF(NOT(ISBLANK(Audit[[#This Row],[Audit Candidate 12]])), Audit[[#This Row],[Audit Candidate 12]]-Audit[[#This Row],[Candidate 12]], "")</f>
        <v/>
      </c>
      <c r="AQ8" s="18">
        <f>SUMIF(Audit[[#This Row],[Difference Winner]:[Difference Candidate 12]], "&gt;0")</f>
        <v>0</v>
      </c>
      <c r="AR8" s="18">
        <f>SUM(Audit[[#This Row],[Difference Winner]:[Difference Candidate 12]])</f>
        <v>0</v>
      </c>
      <c r="AS8" s="18">
        <f>IF(Audit[[#This Row],[Times p Drawn - With Replacement]]&gt;0, IF(Audit[[#This Row],[Canceled Differences]]&lt;0, Audit[[#This Row],[Max Differences]]+ABS(Audit[[#This Row],[Canceled Differences]]), Audit[[#This Row],[Max Differences]]), 0)</f>
        <v>0</v>
      </c>
      <c r="AT8" s="18">
        <f>'Sampling Data'!AB8</f>
        <v>5.9196617336152217E-2</v>
      </c>
      <c r="AU8" s="18">
        <f>IF(
      SUM(Audit[[#This Row],[Audit Losing Candidate]:[Audit Candidate 12]])
      &lt;&gt;0,
      (Audit[[#This Row],[Winning Candidate]]-Audit[[#This Row],[Losing Candidate]]-(Audit[[#This Row],[Audit Winning Candidate]]-Audit[[#This Row],[Audit Losing Candidate]]))/(Audit[[#Totals],[Winning Candidate]]-Audit[[#Totals],[Losing Candidate]]),
      0
)</f>
        <v>0</v>
      </c>
      <c r="AV8"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8"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8"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8"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8"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8"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8"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8"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8"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8"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8"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8" s="18">
        <f>IF(Audit[[#This Row],[Max Relative Error (ep)]] = 0, 0, Audit[[#This Row],[Max Relative Error (ep)]]/Audit[[#This Row],[Error Bound (up) - Max. possible relative overstatement]])</f>
        <v>0</v>
      </c>
      <c r="BH8"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8" s="18">
        <f t="shared" si="0"/>
        <v>1</v>
      </c>
      <c r="BJ8" s="18">
        <f>PRODUCT($BI$5:BI8)</f>
        <v>1</v>
      </c>
      <c r="BK8" s="22">
        <f>1 - Audit[[#This Row],[K-M P Value]]</f>
        <v>0</v>
      </c>
      <c r="BL8" s="18" t="str">
        <f>IF(Audit[[#This Row],[K-M P Value]]&gt;1-'General Info'!$B$12,"Continue", "Stop")</f>
        <v>Continue</v>
      </c>
      <c r="BM8" s="21" t="b">
        <f>IF(Audit[[#This Row],[Status - Continue or stop audit]] = "Continue", TRUE, IF(BL7 = "Continue", TRUE, FALSE))</f>
        <v>1</v>
      </c>
      <c r="BN8" s="21"/>
    </row>
    <row r="9" spans="1:67" ht="14.5" hidden="1" x14ac:dyDescent="0.35">
      <c r="A9" s="78" t="str">
        <f>'Sampling Data'!AI9</f>
        <v/>
      </c>
      <c r="B9" s="78" t="str">
        <f>'Sampling Data'!A9</f>
        <v>4931 SHAR 3-A   (AV)</v>
      </c>
      <c r="C9" s="78">
        <f>'Sampling Data'!B9</f>
        <v>14</v>
      </c>
      <c r="D9" s="78">
        <f>'Sampling Data'!C9</f>
        <v>24</v>
      </c>
      <c r="E9" s="79">
        <f>'Sampling Data'!D9</f>
        <v>0</v>
      </c>
      <c r="F9" s="79">
        <f>'Sampling Data'!E9</f>
        <v>0</v>
      </c>
      <c r="G9" s="79">
        <f>'Sampling Data'!F9</f>
        <v>0</v>
      </c>
      <c r="H9" s="19">
        <f>'Sampling Data'!G9</f>
        <v>0</v>
      </c>
      <c r="I9" s="19">
        <f>'Sampling Data'!H9</f>
        <v>0</v>
      </c>
      <c r="J9" s="79">
        <f>'Sampling Data'!I9</f>
        <v>0</v>
      </c>
      <c r="K9" s="79">
        <f>'Sampling Data'!J9</f>
        <v>0</v>
      </c>
      <c r="L9" s="79">
        <f>'Sampling Data'!K9</f>
        <v>0</v>
      </c>
      <c r="M9" s="79">
        <f>'Sampling Data'!L9</f>
        <v>0</v>
      </c>
      <c r="N9" s="79">
        <f>'Sampling Data'!M9</f>
        <v>0</v>
      </c>
      <c r="O9" s="78">
        <f>'Sampling Data'!N9</f>
        <v>0</v>
      </c>
      <c r="P9" s="78">
        <f>'Sampling Data'!O9</f>
        <v>0</v>
      </c>
      <c r="Q9" s="78">
        <f>'Sampling Data'!P9</f>
        <v>38</v>
      </c>
      <c r="R9" s="78">
        <f>'Sampling Data'!AJ9</f>
        <v>0</v>
      </c>
      <c r="S9" s="80"/>
      <c r="T9" s="80"/>
      <c r="U9" s="81"/>
      <c r="V9" s="81"/>
      <c r="W9" s="80"/>
      <c r="X9" s="80"/>
      <c r="Y9" s="80"/>
      <c r="Z9" s="80"/>
      <c r="AA9" s="80"/>
      <c r="AB9" s="80"/>
      <c r="AC9" s="80"/>
      <c r="AD9" s="80"/>
      <c r="AE9" s="78" t="str">
        <f>IF(NOT(ISBLANK(Audit[[#This Row],[Audit Winning Candidate]])), Audit[[#This Row],[Audit Winning Candidate]]-Audit[[#This Row],[Winning Candidate]], "")</f>
        <v/>
      </c>
      <c r="AF9" s="78" t="str">
        <f>IF(NOT(ISBLANK(Audit[[#This Row],[Audit Losing Candidate]])), Audit[[#This Row],[Audit Losing Candidate]]-Audit[[#This Row],[Losing Candidate]], "")</f>
        <v/>
      </c>
      <c r="AG9" s="78" t="str">
        <f>IF(NOT(ISBLANK(Audit[[#This Row],[Audit Candidate 3]])), Audit[[#This Row],[Audit Candidate 3]]-Audit[[#This Row],[Candidate 3]], "")</f>
        <v/>
      </c>
      <c r="AH9" s="78" t="str">
        <f>IF(NOT(ISBLANK(Audit[[#This Row],[Audit Candidate 4]])),Audit[[#This Row],[Audit Candidate 4]]-Audit[[#This Row],[Candidate 4]], "")</f>
        <v/>
      </c>
      <c r="AI9" s="78" t="str">
        <f>IF(NOT(ISBLANK(Audit[[#This Row],[Audit Candidate 5]])), Audit[[#This Row],[Audit Candidate 5]]-Audit[[#This Row],[Candidate 5]], "")</f>
        <v/>
      </c>
      <c r="AJ9" s="18" t="str">
        <f>IF(NOT(ISBLANK(Audit[[#This Row],[Audit Candidate 6]])), Audit[[#This Row],[Audit Candidate 6]]-Audit[[#This Row],[Candidate 6]], "")</f>
        <v/>
      </c>
      <c r="AK9" s="18" t="str">
        <f>IF(NOT(ISBLANK(Audit[[#This Row],[Audit Candidate 7]])), Audit[[#This Row],[Audit Candidate 7]]-Audit[[#This Row],[Candidate 7]], "")</f>
        <v/>
      </c>
      <c r="AL9" s="78" t="str">
        <f>IF(NOT(ISBLANK(Audit[[#This Row],[Audit Candidate 8]])), Audit[[#This Row],[Audit Candidate 8]]-Audit[[#This Row],[Candidate 8]], "")</f>
        <v/>
      </c>
      <c r="AM9" s="78" t="str">
        <f>IF(NOT(ISBLANK(Audit[[#This Row],[Audit Candidate 9]])), Audit[[#This Row],[Audit Candidate 9]]-Audit[[#This Row],[Candidate 9]], "")</f>
        <v/>
      </c>
      <c r="AN9" s="78" t="str">
        <f>IF(NOT(ISBLANK(Audit[[#This Row],[Audit Candidate 10]])), Audit[[#This Row],[Audit Candidate 10]]-Audit[[#This Row],[Candidate 10]], "")</f>
        <v/>
      </c>
      <c r="AO9" s="78" t="str">
        <f>IF(NOT(ISBLANK(Audit[[#This Row],[Audit Candidate 11]])), Audit[[#This Row],[Audit Candidate 11]]-Audit[[#This Row],[Candidate 11]], "")</f>
        <v/>
      </c>
      <c r="AP9" s="78" t="str">
        <f>IF(NOT(ISBLANK(Audit[[#This Row],[Audit Candidate 12]])), Audit[[#This Row],[Audit Candidate 12]]-Audit[[#This Row],[Candidate 12]], "")</f>
        <v/>
      </c>
      <c r="AQ9" s="78">
        <f>SUMIF(Audit[[#This Row],[Difference Winner]:[Difference Candidate 12]], "&gt;0")</f>
        <v>0</v>
      </c>
      <c r="AR9" s="78">
        <f>SUM(Audit[[#This Row],[Difference Winner]:[Difference Candidate 12]])</f>
        <v>0</v>
      </c>
      <c r="AS9" s="78">
        <f>IF(Audit[[#This Row],[Times p Drawn - With Replacement]]&gt;0, IF(Audit[[#This Row],[Canceled Differences]]&lt;0, Audit[[#This Row],[Max Differences]]+ABS(Audit[[#This Row],[Canceled Differences]]), Audit[[#This Row],[Max Differences]]), 0)</f>
        <v>0</v>
      </c>
      <c r="AT9" s="78">
        <f>'Sampling Data'!AB9</f>
        <v>5.9196617336152217E-2</v>
      </c>
      <c r="AU9" s="78">
        <f>IF(
      SUM(Audit[[#This Row],[Audit Losing Candidate]:[Audit Candidate 12]])
      &lt;&gt;0,
      (Audit[[#This Row],[Winning Candidate]]-Audit[[#This Row],[Losing Candidate]]-(Audit[[#This Row],[Audit Winning Candidate]]-Audit[[#This Row],[Audit Losing Candidate]]))/(Audit[[#Totals],[Winning Candidate]]-Audit[[#Totals],[Losing Candidate]]),
      0
)</f>
        <v>0</v>
      </c>
      <c r="AV9"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9"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9"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9"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9"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9"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9"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9"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9"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9"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9"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9" s="78">
        <f>IF(Audit[[#This Row],[Max Relative Error (ep)]] = 0, 0, Audit[[#This Row],[Max Relative Error (ep)]]/Audit[[#This Row],[Error Bound (up) - Max. possible relative overstatement]])</f>
        <v>0</v>
      </c>
      <c r="BH9"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9" s="78">
        <f t="shared" si="0"/>
        <v>1</v>
      </c>
      <c r="BJ9" s="78">
        <f>PRODUCT($BI$5:BI9)</f>
        <v>1</v>
      </c>
      <c r="BK9" s="76">
        <f>1 - Audit[[#This Row],[K-M P Value]]</f>
        <v>0</v>
      </c>
      <c r="BL9" s="78" t="str">
        <f>IF(Audit[[#This Row],[K-M P Value]]&gt;1-'General Info'!$B$12,"Continue", "Stop")</f>
        <v>Continue</v>
      </c>
      <c r="BM9" s="77" t="b">
        <f>IF(Audit[[#This Row],[Status - Continue or stop audit]] = "Continue", TRUE, IF(BL8 = "Continue", TRUE, FALSE))</f>
        <v>1</v>
      </c>
      <c r="BN9" s="77"/>
    </row>
    <row r="10" spans="1:67" ht="14.5" hidden="1" x14ac:dyDescent="0.35">
      <c r="A10" s="18" t="str">
        <f>'Sampling Data'!AI10</f>
        <v/>
      </c>
      <c r="B10" s="18" t="str">
        <f>'Sampling Data'!A10</f>
        <v>4932 SHAR 3-B   (AV)</v>
      </c>
      <c r="C10" s="19">
        <f>'Sampling Data'!B10</f>
        <v>9</v>
      </c>
      <c r="D10" s="19">
        <f>'Sampling Data'!C10</f>
        <v>11</v>
      </c>
      <c r="E10" s="19">
        <f>'Sampling Data'!D10</f>
        <v>0</v>
      </c>
      <c r="F10" s="19">
        <f>'Sampling Data'!E10</f>
        <v>0</v>
      </c>
      <c r="G10" s="19">
        <f>'Sampling Data'!F10</f>
        <v>0</v>
      </c>
      <c r="H10" s="19">
        <f>'Sampling Data'!G10</f>
        <v>0</v>
      </c>
      <c r="I10" s="19">
        <f>'Sampling Data'!H10</f>
        <v>0</v>
      </c>
      <c r="J10" s="19">
        <f>'Sampling Data'!I10</f>
        <v>0</v>
      </c>
      <c r="K10" s="19">
        <f>'Sampling Data'!J10</f>
        <v>0</v>
      </c>
      <c r="L10" s="19">
        <f>'Sampling Data'!K10</f>
        <v>0</v>
      </c>
      <c r="M10" s="19">
        <f>'Sampling Data'!L10</f>
        <v>0</v>
      </c>
      <c r="N10" s="19">
        <f>'Sampling Data'!M10</f>
        <v>0</v>
      </c>
      <c r="O10" s="19">
        <f>'Sampling Data'!N10</f>
        <v>0</v>
      </c>
      <c r="P10" s="19">
        <f>'Sampling Data'!O10</f>
        <v>0</v>
      </c>
      <c r="Q10" s="19">
        <f>'Sampling Data'!P10</f>
        <v>20</v>
      </c>
      <c r="R10" s="18">
        <f>'Sampling Data'!AJ10</f>
        <v>0</v>
      </c>
      <c r="S10" s="15"/>
      <c r="T10" s="15"/>
      <c r="U10" s="15"/>
      <c r="V10" s="15"/>
      <c r="W10" s="15"/>
      <c r="X10" s="15"/>
      <c r="Y10" s="15"/>
      <c r="Z10" s="15"/>
      <c r="AA10" s="15"/>
      <c r="AB10" s="15"/>
      <c r="AC10" s="15"/>
      <c r="AD10" s="15"/>
      <c r="AE10" s="18" t="str">
        <f>IF(NOT(ISBLANK(Audit[[#This Row],[Audit Winning Candidate]])), Audit[[#This Row],[Audit Winning Candidate]]-Audit[[#This Row],[Winning Candidate]], "")</f>
        <v/>
      </c>
      <c r="AF10" s="18" t="str">
        <f>IF(NOT(ISBLANK(Audit[[#This Row],[Audit Losing Candidate]])), Audit[[#This Row],[Audit Losing Candidate]]-Audit[[#This Row],[Losing Candidate]], "")</f>
        <v/>
      </c>
      <c r="AG10" s="18" t="str">
        <f>IF(NOT(ISBLANK(Audit[[#This Row],[Audit Candidate 3]])), Audit[[#This Row],[Audit Candidate 3]]-Audit[[#This Row],[Candidate 3]], "")</f>
        <v/>
      </c>
      <c r="AH10" s="18" t="str">
        <f>IF(NOT(ISBLANK(Audit[[#This Row],[Audit Candidate 4]])),Audit[[#This Row],[Audit Candidate 4]]-Audit[[#This Row],[Candidate 4]], "")</f>
        <v/>
      </c>
      <c r="AI10" s="18" t="str">
        <f>IF(NOT(ISBLANK(Audit[[#This Row],[Audit Candidate 5]])), Audit[[#This Row],[Audit Candidate 5]]-Audit[[#This Row],[Candidate 5]], "")</f>
        <v/>
      </c>
      <c r="AJ10" s="18" t="str">
        <f>IF(NOT(ISBLANK(Audit[[#This Row],[Audit Candidate 6]])), Audit[[#This Row],[Audit Candidate 6]]-Audit[[#This Row],[Candidate 6]], "")</f>
        <v/>
      </c>
      <c r="AK10" s="18" t="str">
        <f>IF(NOT(ISBLANK(Audit[[#This Row],[Audit Candidate 7]])), Audit[[#This Row],[Audit Candidate 7]]-Audit[[#This Row],[Candidate 7]], "")</f>
        <v/>
      </c>
      <c r="AL10" s="18" t="str">
        <f>IF(NOT(ISBLANK(Audit[[#This Row],[Audit Candidate 8]])), Audit[[#This Row],[Audit Candidate 8]]-Audit[[#This Row],[Candidate 8]], "")</f>
        <v/>
      </c>
      <c r="AM10" s="18" t="str">
        <f>IF(NOT(ISBLANK(Audit[[#This Row],[Audit Candidate 9]])), Audit[[#This Row],[Audit Candidate 9]]-Audit[[#This Row],[Candidate 9]], "")</f>
        <v/>
      </c>
      <c r="AN10" s="18" t="str">
        <f>IF(NOT(ISBLANK(Audit[[#This Row],[Audit Candidate 10]])), Audit[[#This Row],[Audit Candidate 10]]-Audit[[#This Row],[Candidate 10]], "")</f>
        <v/>
      </c>
      <c r="AO10" s="18" t="str">
        <f>IF(NOT(ISBLANK(Audit[[#This Row],[Audit Candidate 11]])), Audit[[#This Row],[Audit Candidate 11]]-Audit[[#This Row],[Candidate 11]], "")</f>
        <v/>
      </c>
      <c r="AP10" s="18" t="str">
        <f>IF(NOT(ISBLANK(Audit[[#This Row],[Audit Candidate 12]])), Audit[[#This Row],[Audit Candidate 12]]-Audit[[#This Row],[Candidate 12]], "")</f>
        <v/>
      </c>
      <c r="AQ10" s="18">
        <f>SUMIF(Audit[[#This Row],[Difference Winner]:[Difference Candidate 12]], "&gt;0")</f>
        <v>0</v>
      </c>
      <c r="AR10" s="18">
        <f>SUM(Audit[[#This Row],[Difference Winner]:[Difference Candidate 12]])</f>
        <v>0</v>
      </c>
      <c r="AS10" s="18">
        <f>IF(Audit[[#This Row],[Times p Drawn - With Replacement]]&gt;0, IF(Audit[[#This Row],[Canceled Differences]]&lt;0, Audit[[#This Row],[Max Differences]]+ABS(Audit[[#This Row],[Canceled Differences]]), Audit[[#This Row],[Max Differences]]), 0)</f>
        <v>0</v>
      </c>
      <c r="AT10" s="18">
        <f>'Sampling Data'!AB10</f>
        <v>3.8054968287526428E-2</v>
      </c>
      <c r="AU10" s="18">
        <f>IF(
      SUM(Audit[[#This Row],[Audit Losing Candidate]:[Audit Candidate 12]])
      &lt;&gt;0,
      (Audit[[#This Row],[Winning Candidate]]-Audit[[#This Row],[Losing Candidate]]-(Audit[[#This Row],[Audit Winning Candidate]]-Audit[[#This Row],[Audit Losing Candidate]]))/(Audit[[#Totals],[Winning Candidate]]-Audit[[#Totals],[Losing Candidate]]),
      0
)</f>
        <v>0</v>
      </c>
      <c r="AV10"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0"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0"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0"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0"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0"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0"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0"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0"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0"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0"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0" s="18">
        <f>IF(Audit[[#This Row],[Max Relative Error (ep)]] = 0, 0, Audit[[#This Row],[Max Relative Error (ep)]]/Audit[[#This Row],[Error Bound (up) - Max. possible relative overstatement]])</f>
        <v>0</v>
      </c>
      <c r="BH10"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10" s="18">
        <f t="shared" si="0"/>
        <v>1</v>
      </c>
      <c r="BJ10" s="18">
        <f>PRODUCT($BI$5:BI10)</f>
        <v>1</v>
      </c>
      <c r="BK10" s="20">
        <f>1 - Audit[[#This Row],[K-M P Value]]</f>
        <v>0</v>
      </c>
      <c r="BL10" s="18" t="str">
        <f>IF(Audit[[#This Row],[K-M P Value]]&gt;1-'General Info'!$B$12,"Continue", "Stop")</f>
        <v>Continue</v>
      </c>
      <c r="BM10" s="23" t="b">
        <f>IF(Audit[[#This Row],[Status - Continue or stop audit]] = "Continue", TRUE, IF(BL9 = "Continue", TRUE, FALSE))</f>
        <v>1</v>
      </c>
      <c r="BN10" s="23"/>
    </row>
    <row r="11" spans="1:67" ht="14.5" hidden="1" x14ac:dyDescent="0.35">
      <c r="A11" s="78" t="str">
        <f>'Sampling Data'!AI11</f>
        <v/>
      </c>
      <c r="B11" s="78" t="str">
        <f>'Sampling Data'!A11</f>
        <v>4941 SHAR 4-A   (AV)</v>
      </c>
      <c r="C11" s="78">
        <f>'Sampling Data'!B11</f>
        <v>14</v>
      </c>
      <c r="D11" s="78">
        <f>'Sampling Data'!C11</f>
        <v>9</v>
      </c>
      <c r="E11" s="79">
        <f>'Sampling Data'!D11</f>
        <v>0</v>
      </c>
      <c r="F11" s="79">
        <f>'Sampling Data'!E11</f>
        <v>0</v>
      </c>
      <c r="G11" s="79">
        <f>'Sampling Data'!F11</f>
        <v>0</v>
      </c>
      <c r="H11" s="19">
        <f>'Sampling Data'!G11</f>
        <v>0</v>
      </c>
      <c r="I11" s="19">
        <f>'Sampling Data'!H11</f>
        <v>0</v>
      </c>
      <c r="J11" s="79">
        <f>'Sampling Data'!I11</f>
        <v>0</v>
      </c>
      <c r="K11" s="79">
        <f>'Sampling Data'!J11</f>
        <v>0</v>
      </c>
      <c r="L11" s="79">
        <f>'Sampling Data'!K11</f>
        <v>0</v>
      </c>
      <c r="M11" s="79">
        <f>'Sampling Data'!L11</f>
        <v>0</v>
      </c>
      <c r="N11" s="79">
        <f>'Sampling Data'!M11</f>
        <v>0</v>
      </c>
      <c r="O11" s="78">
        <f>'Sampling Data'!N11</f>
        <v>0</v>
      </c>
      <c r="P11" s="78">
        <f>'Sampling Data'!O11</f>
        <v>0</v>
      </c>
      <c r="Q11" s="78">
        <f>'Sampling Data'!P11</f>
        <v>23</v>
      </c>
      <c r="R11" s="78">
        <f>'Sampling Data'!AJ11</f>
        <v>0</v>
      </c>
      <c r="S11" s="80"/>
      <c r="T11" s="80"/>
      <c r="U11" s="81"/>
      <c r="V11" s="81"/>
      <c r="W11" s="80"/>
      <c r="X11" s="80"/>
      <c r="Y11" s="80"/>
      <c r="Z11" s="80"/>
      <c r="AA11" s="80"/>
      <c r="AB11" s="80"/>
      <c r="AC11" s="80"/>
      <c r="AD11" s="80"/>
      <c r="AE11" s="78" t="str">
        <f>IF(NOT(ISBLANK(Audit[[#This Row],[Audit Winning Candidate]])), Audit[[#This Row],[Audit Winning Candidate]]-Audit[[#This Row],[Winning Candidate]], "")</f>
        <v/>
      </c>
      <c r="AF11" s="78" t="str">
        <f>IF(NOT(ISBLANK(Audit[[#This Row],[Audit Losing Candidate]])), Audit[[#This Row],[Audit Losing Candidate]]-Audit[[#This Row],[Losing Candidate]], "")</f>
        <v/>
      </c>
      <c r="AG11" s="78" t="str">
        <f>IF(NOT(ISBLANK(Audit[[#This Row],[Audit Candidate 3]])), Audit[[#This Row],[Audit Candidate 3]]-Audit[[#This Row],[Candidate 3]], "")</f>
        <v/>
      </c>
      <c r="AH11" s="78" t="str">
        <f>IF(NOT(ISBLANK(Audit[[#This Row],[Audit Candidate 4]])),Audit[[#This Row],[Audit Candidate 4]]-Audit[[#This Row],[Candidate 4]], "")</f>
        <v/>
      </c>
      <c r="AI11" s="78" t="str">
        <f>IF(NOT(ISBLANK(Audit[[#This Row],[Audit Candidate 5]])), Audit[[#This Row],[Audit Candidate 5]]-Audit[[#This Row],[Candidate 5]], "")</f>
        <v/>
      </c>
      <c r="AJ11" s="18" t="str">
        <f>IF(NOT(ISBLANK(Audit[[#This Row],[Audit Candidate 6]])), Audit[[#This Row],[Audit Candidate 6]]-Audit[[#This Row],[Candidate 6]], "")</f>
        <v/>
      </c>
      <c r="AK11" s="18" t="str">
        <f>IF(NOT(ISBLANK(Audit[[#This Row],[Audit Candidate 7]])), Audit[[#This Row],[Audit Candidate 7]]-Audit[[#This Row],[Candidate 7]], "")</f>
        <v/>
      </c>
      <c r="AL11" s="78" t="str">
        <f>IF(NOT(ISBLANK(Audit[[#This Row],[Audit Candidate 8]])), Audit[[#This Row],[Audit Candidate 8]]-Audit[[#This Row],[Candidate 8]], "")</f>
        <v/>
      </c>
      <c r="AM11" s="78" t="str">
        <f>IF(NOT(ISBLANK(Audit[[#This Row],[Audit Candidate 9]])), Audit[[#This Row],[Audit Candidate 9]]-Audit[[#This Row],[Candidate 9]], "")</f>
        <v/>
      </c>
      <c r="AN11" s="78" t="str">
        <f>IF(NOT(ISBLANK(Audit[[#This Row],[Audit Candidate 10]])), Audit[[#This Row],[Audit Candidate 10]]-Audit[[#This Row],[Candidate 10]], "")</f>
        <v/>
      </c>
      <c r="AO11" s="78" t="str">
        <f>IF(NOT(ISBLANK(Audit[[#This Row],[Audit Candidate 11]])), Audit[[#This Row],[Audit Candidate 11]]-Audit[[#This Row],[Candidate 11]], "")</f>
        <v/>
      </c>
      <c r="AP11" s="78" t="str">
        <f>IF(NOT(ISBLANK(Audit[[#This Row],[Audit Candidate 12]])), Audit[[#This Row],[Audit Candidate 12]]-Audit[[#This Row],[Candidate 12]], "")</f>
        <v/>
      </c>
      <c r="AQ11" s="78">
        <f>SUMIF(Audit[[#This Row],[Difference Winner]:[Difference Candidate 12]], "&gt;0")</f>
        <v>0</v>
      </c>
      <c r="AR11" s="78">
        <f>SUM(Audit[[#This Row],[Difference Winner]:[Difference Candidate 12]])</f>
        <v>0</v>
      </c>
      <c r="AS11" s="78">
        <f>IF(Audit[[#This Row],[Times p Drawn - With Replacement]]&gt;0, IF(Audit[[#This Row],[Canceled Differences]]&lt;0, Audit[[#This Row],[Max Differences]]+ABS(Audit[[#This Row],[Canceled Differences]]), Audit[[#This Row],[Max Differences]]), 0)</f>
        <v>0</v>
      </c>
      <c r="AT11" s="78">
        <f>'Sampling Data'!AB11</f>
        <v>5.9196617336152217E-2</v>
      </c>
      <c r="AU11" s="78">
        <f>IF(
      SUM(Audit[[#This Row],[Audit Losing Candidate]:[Audit Candidate 12]])
      &lt;&gt;0,
      (Audit[[#This Row],[Winning Candidate]]-Audit[[#This Row],[Losing Candidate]]-(Audit[[#This Row],[Audit Winning Candidate]]-Audit[[#This Row],[Audit Losing Candidate]]))/(Audit[[#Totals],[Winning Candidate]]-Audit[[#Totals],[Losing Candidate]]),
      0
)</f>
        <v>0</v>
      </c>
      <c r="AV11"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1"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1"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1"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1"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1"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1"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1"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1"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1"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1"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1" s="78">
        <f>IF(Audit[[#This Row],[Max Relative Error (ep)]] = 0, 0, Audit[[#This Row],[Max Relative Error (ep)]]/Audit[[#This Row],[Error Bound (up) - Max. possible relative overstatement]])</f>
        <v>0</v>
      </c>
      <c r="BH11"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11" s="78">
        <f t="shared" si="0"/>
        <v>1</v>
      </c>
      <c r="BJ11" s="78">
        <f>PRODUCT($BI$5:BI11)</f>
        <v>1</v>
      </c>
      <c r="BK11" s="76">
        <f>1 - Audit[[#This Row],[K-M P Value]]</f>
        <v>0</v>
      </c>
      <c r="BL11" s="78" t="str">
        <f>IF(Audit[[#This Row],[K-M P Value]]&gt;1-'General Info'!$B$12,"Continue", "Stop")</f>
        <v>Continue</v>
      </c>
      <c r="BM11" s="77" t="b">
        <f>IF(Audit[[#This Row],[Status - Continue or stop audit]] = "Continue", TRUE, IF(BL10 = "Continue", TRUE, FALSE))</f>
        <v>1</v>
      </c>
      <c r="BN11" s="77"/>
    </row>
    <row r="12" spans="1:67" ht="14.5" hidden="1" x14ac:dyDescent="0.35">
      <c r="A12" s="18" t="str">
        <f>'Sampling Data'!AI12</f>
        <v/>
      </c>
      <c r="B12" s="18" t="str">
        <f>'Sampling Data'!A12</f>
        <v>4942 SHAR 4-B   (AV)</v>
      </c>
      <c r="C12" s="19">
        <f>'Sampling Data'!B12</f>
        <v>13</v>
      </c>
      <c r="D12" s="19">
        <f>'Sampling Data'!C12</f>
        <v>16</v>
      </c>
      <c r="E12" s="19">
        <f>'Sampling Data'!D12</f>
        <v>0</v>
      </c>
      <c r="F12" s="19">
        <f>'Sampling Data'!E12</f>
        <v>0</v>
      </c>
      <c r="G12" s="19">
        <f>'Sampling Data'!F12</f>
        <v>0</v>
      </c>
      <c r="H12" s="19">
        <f>'Sampling Data'!G12</f>
        <v>0</v>
      </c>
      <c r="I12" s="19">
        <f>'Sampling Data'!H12</f>
        <v>0</v>
      </c>
      <c r="J12" s="19">
        <f>'Sampling Data'!I12</f>
        <v>0</v>
      </c>
      <c r="K12" s="19">
        <f>'Sampling Data'!J12</f>
        <v>0</v>
      </c>
      <c r="L12" s="19">
        <f>'Sampling Data'!K12</f>
        <v>0</v>
      </c>
      <c r="M12" s="19">
        <f>'Sampling Data'!L12</f>
        <v>0</v>
      </c>
      <c r="N12" s="19">
        <f>'Sampling Data'!M12</f>
        <v>0</v>
      </c>
      <c r="O12" s="19">
        <f>'Sampling Data'!N12</f>
        <v>0</v>
      </c>
      <c r="P12" s="19">
        <f>'Sampling Data'!O12</f>
        <v>0</v>
      </c>
      <c r="Q12" s="19">
        <f>'Sampling Data'!P12</f>
        <v>29</v>
      </c>
      <c r="R12" s="18">
        <f>'Sampling Data'!AJ12</f>
        <v>0</v>
      </c>
      <c r="S12" s="15"/>
      <c r="T12" s="15"/>
      <c r="U12" s="15"/>
      <c r="V12" s="15"/>
      <c r="W12" s="15"/>
      <c r="X12" s="15"/>
      <c r="Y12" s="15"/>
      <c r="Z12" s="15"/>
      <c r="AA12" s="15"/>
      <c r="AB12" s="15"/>
      <c r="AC12" s="15"/>
      <c r="AD12" s="15"/>
      <c r="AE12" s="18" t="str">
        <f>IF(NOT(ISBLANK(Audit[[#This Row],[Audit Winning Candidate]])), Audit[[#This Row],[Audit Winning Candidate]]-Audit[[#This Row],[Winning Candidate]], "")</f>
        <v/>
      </c>
      <c r="AF12" s="18" t="str">
        <f>IF(NOT(ISBLANK(Audit[[#This Row],[Audit Losing Candidate]])), Audit[[#This Row],[Audit Losing Candidate]]-Audit[[#This Row],[Losing Candidate]], "")</f>
        <v/>
      </c>
      <c r="AG12" s="18" t="str">
        <f>IF(NOT(ISBLANK(Audit[[#This Row],[Audit Candidate 3]])), Audit[[#This Row],[Audit Candidate 3]]-Audit[[#This Row],[Candidate 3]], "")</f>
        <v/>
      </c>
      <c r="AH12" s="18" t="str">
        <f>IF(NOT(ISBLANK(Audit[[#This Row],[Audit Candidate 4]])),Audit[[#This Row],[Audit Candidate 4]]-Audit[[#This Row],[Candidate 4]], "")</f>
        <v/>
      </c>
      <c r="AI12" s="18" t="str">
        <f>IF(NOT(ISBLANK(Audit[[#This Row],[Audit Candidate 5]])), Audit[[#This Row],[Audit Candidate 5]]-Audit[[#This Row],[Candidate 5]], "")</f>
        <v/>
      </c>
      <c r="AJ12" s="18" t="str">
        <f>IF(NOT(ISBLANK(Audit[[#This Row],[Audit Candidate 6]])), Audit[[#This Row],[Audit Candidate 6]]-Audit[[#This Row],[Candidate 6]], "")</f>
        <v/>
      </c>
      <c r="AK12" s="18" t="str">
        <f>IF(NOT(ISBLANK(Audit[[#This Row],[Audit Candidate 7]])), Audit[[#This Row],[Audit Candidate 7]]-Audit[[#This Row],[Candidate 7]], "")</f>
        <v/>
      </c>
      <c r="AL12" s="18" t="str">
        <f>IF(NOT(ISBLANK(Audit[[#This Row],[Audit Candidate 8]])), Audit[[#This Row],[Audit Candidate 8]]-Audit[[#This Row],[Candidate 8]], "")</f>
        <v/>
      </c>
      <c r="AM12" s="18" t="str">
        <f>IF(NOT(ISBLANK(Audit[[#This Row],[Audit Candidate 9]])), Audit[[#This Row],[Audit Candidate 9]]-Audit[[#This Row],[Candidate 9]], "")</f>
        <v/>
      </c>
      <c r="AN12" s="18" t="str">
        <f>IF(NOT(ISBLANK(Audit[[#This Row],[Audit Candidate 10]])), Audit[[#This Row],[Audit Candidate 10]]-Audit[[#This Row],[Candidate 10]], "")</f>
        <v/>
      </c>
      <c r="AO12" s="18" t="str">
        <f>IF(NOT(ISBLANK(Audit[[#This Row],[Audit Candidate 11]])), Audit[[#This Row],[Audit Candidate 11]]-Audit[[#This Row],[Candidate 11]], "")</f>
        <v/>
      </c>
      <c r="AP12" s="18" t="str">
        <f>IF(NOT(ISBLANK(Audit[[#This Row],[Audit Candidate 12]])), Audit[[#This Row],[Audit Candidate 12]]-Audit[[#This Row],[Candidate 12]], "")</f>
        <v/>
      </c>
      <c r="AQ12" s="18">
        <f>SUMIF(Audit[[#This Row],[Difference Winner]:[Difference Candidate 12]], "&gt;0")</f>
        <v>0</v>
      </c>
      <c r="AR12" s="18">
        <f>SUM(Audit[[#This Row],[Difference Winner]:[Difference Candidate 12]])</f>
        <v>0</v>
      </c>
      <c r="AS12" s="18">
        <f>IF(Audit[[#This Row],[Times p Drawn - With Replacement]]&gt;0, IF(Audit[[#This Row],[Canceled Differences]]&lt;0, Audit[[#This Row],[Max Differences]]+ABS(Audit[[#This Row],[Canceled Differences]]), Audit[[#This Row],[Max Differences]]), 0)</f>
        <v>0</v>
      </c>
      <c r="AT12" s="18">
        <f>'Sampling Data'!AB12</f>
        <v>5.4968287526427059E-2</v>
      </c>
      <c r="AU12" s="18">
        <f>IF(
      SUM(Audit[[#This Row],[Audit Losing Candidate]:[Audit Candidate 12]])
      &lt;&gt;0,
      (Audit[[#This Row],[Winning Candidate]]-Audit[[#This Row],[Losing Candidate]]-(Audit[[#This Row],[Audit Winning Candidate]]-Audit[[#This Row],[Audit Losing Candidate]]))/(Audit[[#Totals],[Winning Candidate]]-Audit[[#Totals],[Losing Candidate]]),
      0
)</f>
        <v>0</v>
      </c>
      <c r="AV12"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2"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2"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2"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2"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2"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2"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2"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2"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2"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2"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2" s="18">
        <f>IF(Audit[[#This Row],[Max Relative Error (ep)]] = 0, 0, Audit[[#This Row],[Max Relative Error (ep)]]/Audit[[#This Row],[Error Bound (up) - Max. possible relative overstatement]])</f>
        <v>0</v>
      </c>
      <c r="BH12"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12" s="18">
        <f t="shared" si="0"/>
        <v>1</v>
      </c>
      <c r="BJ12" s="18">
        <f>PRODUCT($BI$5:BI12)</f>
        <v>1</v>
      </c>
      <c r="BK12" s="20">
        <f>1 - Audit[[#This Row],[K-M P Value]]</f>
        <v>0</v>
      </c>
      <c r="BL12" s="18" t="str">
        <f>IF(Audit[[#This Row],[K-M P Value]]&gt;1-'General Info'!$B$12,"Continue", "Stop")</f>
        <v>Continue</v>
      </c>
      <c r="BM12" s="23" t="b">
        <f>IF(Audit[[#This Row],[Status - Continue or stop audit]] = "Continue", TRUE, IF(BL11 = "Continue", TRUE, FALSE))</f>
        <v>1</v>
      </c>
      <c r="BN12" s="23"/>
    </row>
    <row r="13" spans="1:67" ht="14.5" hidden="1" x14ac:dyDescent="0.35">
      <c r="A13" s="78" t="str">
        <f>'Sampling Data'!AI13</f>
        <v/>
      </c>
      <c r="B13" s="78" t="str">
        <f>'Sampling Data'!A13</f>
        <v>5201 SPDALE A   (AV)</v>
      </c>
      <c r="C13" s="78">
        <f>'Sampling Data'!B13</f>
        <v>8</v>
      </c>
      <c r="D13" s="78">
        <f>'Sampling Data'!C13</f>
        <v>4</v>
      </c>
      <c r="E13" s="79">
        <f>'Sampling Data'!D13</f>
        <v>0</v>
      </c>
      <c r="F13" s="79">
        <f>'Sampling Data'!E13</f>
        <v>0</v>
      </c>
      <c r="G13" s="79">
        <f>'Sampling Data'!F13</f>
        <v>0</v>
      </c>
      <c r="H13" s="19">
        <f>'Sampling Data'!G13</f>
        <v>0</v>
      </c>
      <c r="I13" s="19">
        <f>'Sampling Data'!H13</f>
        <v>0</v>
      </c>
      <c r="J13" s="79">
        <f>'Sampling Data'!I13</f>
        <v>0</v>
      </c>
      <c r="K13" s="79">
        <f>'Sampling Data'!J13</f>
        <v>0</v>
      </c>
      <c r="L13" s="79">
        <f>'Sampling Data'!K13</f>
        <v>0</v>
      </c>
      <c r="M13" s="79">
        <f>'Sampling Data'!L13</f>
        <v>0</v>
      </c>
      <c r="N13" s="79">
        <f>'Sampling Data'!M13</f>
        <v>0</v>
      </c>
      <c r="O13" s="78">
        <f>'Sampling Data'!N13</f>
        <v>0</v>
      </c>
      <c r="P13" s="78">
        <f>'Sampling Data'!O13</f>
        <v>0</v>
      </c>
      <c r="Q13" s="78">
        <f>'Sampling Data'!P13</f>
        <v>12</v>
      </c>
      <c r="R13" s="78">
        <f>'Sampling Data'!AJ13</f>
        <v>0</v>
      </c>
      <c r="S13" s="80"/>
      <c r="T13" s="80"/>
      <c r="U13" s="81"/>
      <c r="V13" s="81"/>
      <c r="W13" s="80"/>
      <c r="X13" s="80"/>
      <c r="Y13" s="80"/>
      <c r="Z13" s="80"/>
      <c r="AA13" s="80"/>
      <c r="AB13" s="80"/>
      <c r="AC13" s="80"/>
      <c r="AD13" s="80"/>
      <c r="AE13" s="78" t="str">
        <f>IF(NOT(ISBLANK(Audit[[#This Row],[Audit Winning Candidate]])), Audit[[#This Row],[Audit Winning Candidate]]-Audit[[#This Row],[Winning Candidate]], "")</f>
        <v/>
      </c>
      <c r="AF13" s="78" t="str">
        <f>IF(NOT(ISBLANK(Audit[[#This Row],[Audit Losing Candidate]])), Audit[[#This Row],[Audit Losing Candidate]]-Audit[[#This Row],[Losing Candidate]], "")</f>
        <v/>
      </c>
      <c r="AG13" s="78" t="str">
        <f>IF(NOT(ISBLANK(Audit[[#This Row],[Audit Candidate 3]])), Audit[[#This Row],[Audit Candidate 3]]-Audit[[#This Row],[Candidate 3]], "")</f>
        <v/>
      </c>
      <c r="AH13" s="78" t="str">
        <f>IF(NOT(ISBLANK(Audit[[#This Row],[Audit Candidate 4]])),Audit[[#This Row],[Audit Candidate 4]]-Audit[[#This Row],[Candidate 4]], "")</f>
        <v/>
      </c>
      <c r="AI13" s="78" t="str">
        <f>IF(NOT(ISBLANK(Audit[[#This Row],[Audit Candidate 5]])), Audit[[#This Row],[Audit Candidate 5]]-Audit[[#This Row],[Candidate 5]], "")</f>
        <v/>
      </c>
      <c r="AJ13" s="18" t="str">
        <f>IF(NOT(ISBLANK(Audit[[#This Row],[Audit Candidate 6]])), Audit[[#This Row],[Audit Candidate 6]]-Audit[[#This Row],[Candidate 6]], "")</f>
        <v/>
      </c>
      <c r="AK13" s="18" t="str">
        <f>IF(NOT(ISBLANK(Audit[[#This Row],[Audit Candidate 7]])), Audit[[#This Row],[Audit Candidate 7]]-Audit[[#This Row],[Candidate 7]], "")</f>
        <v/>
      </c>
      <c r="AL13" s="78" t="str">
        <f>IF(NOT(ISBLANK(Audit[[#This Row],[Audit Candidate 8]])), Audit[[#This Row],[Audit Candidate 8]]-Audit[[#This Row],[Candidate 8]], "")</f>
        <v/>
      </c>
      <c r="AM13" s="78" t="str">
        <f>IF(NOT(ISBLANK(Audit[[#This Row],[Audit Candidate 9]])), Audit[[#This Row],[Audit Candidate 9]]-Audit[[#This Row],[Candidate 9]], "")</f>
        <v/>
      </c>
      <c r="AN13" s="78" t="str">
        <f>IF(NOT(ISBLANK(Audit[[#This Row],[Audit Candidate 10]])), Audit[[#This Row],[Audit Candidate 10]]-Audit[[#This Row],[Candidate 10]], "")</f>
        <v/>
      </c>
      <c r="AO13" s="78" t="str">
        <f>IF(NOT(ISBLANK(Audit[[#This Row],[Audit Candidate 11]])), Audit[[#This Row],[Audit Candidate 11]]-Audit[[#This Row],[Candidate 11]], "")</f>
        <v/>
      </c>
      <c r="AP13" s="78" t="str">
        <f>IF(NOT(ISBLANK(Audit[[#This Row],[Audit Candidate 12]])), Audit[[#This Row],[Audit Candidate 12]]-Audit[[#This Row],[Candidate 12]], "")</f>
        <v/>
      </c>
      <c r="AQ13" s="78">
        <f>SUMIF(Audit[[#This Row],[Difference Winner]:[Difference Candidate 12]], "&gt;0")</f>
        <v>0</v>
      </c>
      <c r="AR13" s="78">
        <f>SUM(Audit[[#This Row],[Difference Winner]:[Difference Candidate 12]])</f>
        <v>0</v>
      </c>
      <c r="AS13" s="78">
        <f>IF(Audit[[#This Row],[Times p Drawn - With Replacement]]&gt;0, IF(Audit[[#This Row],[Canceled Differences]]&lt;0, Audit[[#This Row],[Max Differences]]+ABS(Audit[[#This Row],[Canceled Differences]]), Audit[[#This Row],[Max Differences]]), 0)</f>
        <v>0</v>
      </c>
      <c r="AT13" s="78">
        <f>'Sampling Data'!AB13</f>
        <v>3.382663847780127E-2</v>
      </c>
      <c r="AU13" s="78">
        <f>IF(
      SUM(Audit[[#This Row],[Audit Losing Candidate]:[Audit Candidate 12]])
      &lt;&gt;0,
      (Audit[[#This Row],[Winning Candidate]]-Audit[[#This Row],[Losing Candidate]]-(Audit[[#This Row],[Audit Winning Candidate]]-Audit[[#This Row],[Audit Losing Candidate]]))/(Audit[[#Totals],[Winning Candidate]]-Audit[[#Totals],[Losing Candidate]]),
      0
)</f>
        <v>0</v>
      </c>
      <c r="AV13" s="7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3" s="7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3" s="7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3" s="7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3" s="7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3" s="7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3" s="7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3" s="7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3" s="7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3" s="7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3" s="7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3" s="78">
        <f>IF(Audit[[#This Row],[Max Relative Error (ep)]] = 0, 0, Audit[[#This Row],[Max Relative Error (ep)]]/Audit[[#This Row],[Error Bound (up) - Max. possible relative overstatement]])</f>
        <v>0</v>
      </c>
      <c r="BH13" s="7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13" s="78">
        <f t="shared" si="0"/>
        <v>1</v>
      </c>
      <c r="BJ13" s="78">
        <f>PRODUCT($BI$5:BI13)</f>
        <v>1</v>
      </c>
      <c r="BK13" s="76">
        <f>1 - Audit[[#This Row],[K-M P Value]]</f>
        <v>0</v>
      </c>
      <c r="BL13" s="78" t="str">
        <f>IF(Audit[[#This Row],[K-M P Value]]&gt;1-'General Info'!$B$12,"Continue", "Stop")</f>
        <v>Continue</v>
      </c>
      <c r="BM13" s="77" t="b">
        <f>IF(Audit[[#This Row],[Status - Continue or stop audit]] = "Continue", TRUE, IF(BL12 = "Continue", TRUE, FALSE))</f>
        <v>1</v>
      </c>
      <c r="BN13" s="77"/>
    </row>
    <row r="14" spans="1:67" ht="14.5" hidden="1" x14ac:dyDescent="0.35">
      <c r="A14" s="18" t="str">
        <f>'Sampling Data'!AI14</f>
        <v/>
      </c>
      <c r="B14" s="18" t="str">
        <f>'Sampling Data'!A14</f>
        <v>5202 SPDALE B   (AV)</v>
      </c>
      <c r="C14" s="19">
        <f>'Sampling Data'!B14</f>
        <v>12</v>
      </c>
      <c r="D14" s="19">
        <f>'Sampling Data'!C14</f>
        <v>5</v>
      </c>
      <c r="E14" s="19">
        <f>'Sampling Data'!D14</f>
        <v>0</v>
      </c>
      <c r="F14" s="19">
        <f>'Sampling Data'!E14</f>
        <v>0</v>
      </c>
      <c r="G14" s="19">
        <f>'Sampling Data'!F14</f>
        <v>0</v>
      </c>
      <c r="H14" s="19">
        <f>'Sampling Data'!G14</f>
        <v>0</v>
      </c>
      <c r="I14" s="19">
        <f>'Sampling Data'!H14</f>
        <v>0</v>
      </c>
      <c r="J14" s="19">
        <f>'Sampling Data'!I14</f>
        <v>0</v>
      </c>
      <c r="K14" s="19">
        <f>'Sampling Data'!J14</f>
        <v>0</v>
      </c>
      <c r="L14" s="19">
        <f>'Sampling Data'!K14</f>
        <v>0</v>
      </c>
      <c r="M14" s="19">
        <f>'Sampling Data'!L14</f>
        <v>0</v>
      </c>
      <c r="N14" s="19">
        <f>'Sampling Data'!M14</f>
        <v>0</v>
      </c>
      <c r="O14" s="19">
        <f>'Sampling Data'!N14</f>
        <v>0</v>
      </c>
      <c r="P14" s="19">
        <f>'Sampling Data'!O14</f>
        <v>0</v>
      </c>
      <c r="Q14" s="19">
        <f>'Sampling Data'!P14</f>
        <v>17</v>
      </c>
      <c r="R14" s="18">
        <f>'Sampling Data'!AJ14</f>
        <v>0</v>
      </c>
      <c r="S14" s="15"/>
      <c r="T14" s="15"/>
      <c r="U14" s="15"/>
      <c r="V14" s="15"/>
      <c r="W14" s="15"/>
      <c r="X14" s="15"/>
      <c r="Y14" s="15"/>
      <c r="Z14" s="15"/>
      <c r="AA14" s="15"/>
      <c r="AB14" s="15"/>
      <c r="AC14" s="15"/>
      <c r="AD14" s="15"/>
      <c r="AE14" s="18" t="str">
        <f>IF(NOT(ISBLANK(Audit[[#This Row],[Audit Winning Candidate]])), Audit[[#This Row],[Audit Winning Candidate]]-Audit[[#This Row],[Winning Candidate]], "")</f>
        <v/>
      </c>
      <c r="AF14" s="18" t="str">
        <f>IF(NOT(ISBLANK(Audit[[#This Row],[Audit Losing Candidate]])), Audit[[#This Row],[Audit Losing Candidate]]-Audit[[#This Row],[Losing Candidate]], "")</f>
        <v/>
      </c>
      <c r="AG14" s="18" t="str">
        <f>IF(NOT(ISBLANK(Audit[[#This Row],[Audit Candidate 3]])), Audit[[#This Row],[Audit Candidate 3]]-Audit[[#This Row],[Candidate 3]], "")</f>
        <v/>
      </c>
      <c r="AH14" s="18" t="str">
        <f>IF(NOT(ISBLANK(Audit[[#This Row],[Audit Candidate 4]])),Audit[[#This Row],[Audit Candidate 4]]-Audit[[#This Row],[Candidate 4]], "")</f>
        <v/>
      </c>
      <c r="AI14" s="18" t="str">
        <f>IF(NOT(ISBLANK(Audit[[#This Row],[Audit Candidate 5]])), Audit[[#This Row],[Audit Candidate 5]]-Audit[[#This Row],[Candidate 5]], "")</f>
        <v/>
      </c>
      <c r="AJ14" s="18" t="str">
        <f>IF(NOT(ISBLANK(Audit[[#This Row],[Audit Candidate 6]])), Audit[[#This Row],[Audit Candidate 6]]-Audit[[#This Row],[Candidate 6]], "")</f>
        <v/>
      </c>
      <c r="AK14" s="18" t="str">
        <f>IF(NOT(ISBLANK(Audit[[#This Row],[Audit Candidate 7]])), Audit[[#This Row],[Audit Candidate 7]]-Audit[[#This Row],[Candidate 7]], "")</f>
        <v/>
      </c>
      <c r="AL14" s="18" t="str">
        <f>IF(NOT(ISBLANK(Audit[[#This Row],[Audit Candidate 8]])), Audit[[#This Row],[Audit Candidate 8]]-Audit[[#This Row],[Candidate 8]], "")</f>
        <v/>
      </c>
      <c r="AM14" s="18" t="str">
        <f>IF(NOT(ISBLANK(Audit[[#This Row],[Audit Candidate 9]])), Audit[[#This Row],[Audit Candidate 9]]-Audit[[#This Row],[Candidate 9]], "")</f>
        <v/>
      </c>
      <c r="AN14" s="18" t="str">
        <f>IF(NOT(ISBLANK(Audit[[#This Row],[Audit Candidate 10]])), Audit[[#This Row],[Audit Candidate 10]]-Audit[[#This Row],[Candidate 10]], "")</f>
        <v/>
      </c>
      <c r="AO14" s="18" t="str">
        <f>IF(NOT(ISBLANK(Audit[[#This Row],[Audit Candidate 11]])), Audit[[#This Row],[Audit Candidate 11]]-Audit[[#This Row],[Candidate 11]], "")</f>
        <v/>
      </c>
      <c r="AP14" s="18" t="str">
        <f>IF(NOT(ISBLANK(Audit[[#This Row],[Audit Candidate 12]])), Audit[[#This Row],[Audit Candidate 12]]-Audit[[#This Row],[Candidate 12]], "")</f>
        <v/>
      </c>
      <c r="AQ14" s="18">
        <f>SUMIF(Audit[[#This Row],[Difference Winner]:[Difference Candidate 12]], "&gt;0")</f>
        <v>0</v>
      </c>
      <c r="AR14" s="18">
        <f>SUM(Audit[[#This Row],[Difference Winner]:[Difference Candidate 12]])</f>
        <v>0</v>
      </c>
      <c r="AS14" s="18">
        <f>IF(Audit[[#This Row],[Times p Drawn - With Replacement]]&gt;0, IF(Audit[[#This Row],[Canceled Differences]]&lt;0, Audit[[#This Row],[Max Differences]]+ABS(Audit[[#This Row],[Canceled Differences]]), Audit[[#This Row],[Max Differences]]), 0)</f>
        <v>0</v>
      </c>
      <c r="AT14" s="18">
        <f>'Sampling Data'!AB14</f>
        <v>5.0739957716701901E-2</v>
      </c>
      <c r="AU14" s="18">
        <f>IF(
      SUM(Audit[[#This Row],[Audit Losing Candidate]:[Audit Candidate 12]])
      &lt;&gt;0,
      (Audit[[#This Row],[Winning Candidate]]-Audit[[#This Row],[Losing Candidate]]-(Audit[[#This Row],[Audit Winning Candidate]]-Audit[[#This Row],[Audit Losing Candidate]]))/(Audit[[#Totals],[Winning Candidate]]-Audit[[#Totals],[Losing Candidate]]),
      0
)</f>
        <v>0</v>
      </c>
      <c r="AV14" s="18"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4" s="18"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4" s="18"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4" s="18"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4" s="18"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4" s="18"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4" s="18"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4" s="18"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4" s="18"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4" s="18"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4" s="18">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4" s="18">
        <f>IF(Audit[[#This Row],[Max Relative Error (ep)]] = 0, 0, Audit[[#This Row],[Max Relative Error (ep)]]/Audit[[#This Row],[Error Bound (up) - Max. possible relative overstatement]])</f>
        <v>0</v>
      </c>
      <c r="BH14" s="18">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14" s="18">
        <f t="shared" si="0"/>
        <v>1</v>
      </c>
      <c r="BJ14">
        <f>PRODUCT($BI$5:BI60)</f>
        <v>9.6116556207223508E-2</v>
      </c>
      <c r="BK14" s="20">
        <f>1 - Audit[[#This Row],[K-M P Value]]</f>
        <v>0.90388344379277652</v>
      </c>
      <c r="BL14" s="18" t="str">
        <f>IF(Audit[[#This Row],[K-M P Value]]&gt;1-'General Info'!$B$12,"Continue", "Stop")</f>
        <v>Stop</v>
      </c>
      <c r="BM14" s="23" t="b">
        <f>IF(Audit[[#This Row],[Status - Continue or stop audit]] = "Continue", TRUE, IF(BL13 = "Continue", TRUE, FALSE))</f>
        <v>1</v>
      </c>
      <c r="BN14" s="23"/>
    </row>
    <row r="15" spans="1:67" ht="15" hidden="1" customHeight="1" x14ac:dyDescent="0.35">
      <c r="A15" s="114" t="str">
        <f>'Sampling Data'!AI15</f>
        <v/>
      </c>
      <c r="B15" s="114" t="str">
        <f>'Sampling Data'!A15</f>
        <v>5203 SPDALE C   (AV)</v>
      </c>
      <c r="C15" s="114">
        <f>'Sampling Data'!B15</f>
        <v>10</v>
      </c>
      <c r="D15" s="114">
        <f>'Sampling Data'!C15</f>
        <v>6</v>
      </c>
      <c r="E15" s="115">
        <f>'Sampling Data'!D15</f>
        <v>0</v>
      </c>
      <c r="F15" s="115">
        <f>'Sampling Data'!E15</f>
        <v>0</v>
      </c>
      <c r="G15" s="115">
        <f>'Sampling Data'!F15</f>
        <v>0</v>
      </c>
      <c r="H15" s="115">
        <f>'Sampling Data'!G15</f>
        <v>0</v>
      </c>
      <c r="I15" s="115">
        <f>'Sampling Data'!H15</f>
        <v>0</v>
      </c>
      <c r="J15" s="115">
        <f>'Sampling Data'!I15</f>
        <v>0</v>
      </c>
      <c r="K15" s="115">
        <f>'Sampling Data'!J15</f>
        <v>0</v>
      </c>
      <c r="L15" s="115">
        <f>'Sampling Data'!K15</f>
        <v>0</v>
      </c>
      <c r="M15" s="115">
        <f>'Sampling Data'!L15</f>
        <v>0</v>
      </c>
      <c r="N15" s="115">
        <f>'Sampling Data'!M15</f>
        <v>0</v>
      </c>
      <c r="O15" s="114">
        <f>'Sampling Data'!N15</f>
        <v>0</v>
      </c>
      <c r="P15" s="114">
        <f>'Sampling Data'!O15</f>
        <v>0</v>
      </c>
      <c r="Q15" s="114">
        <f>'Sampling Data'!P15</f>
        <v>16</v>
      </c>
      <c r="R15" s="114">
        <f>'Sampling Data'!AJ15</f>
        <v>0</v>
      </c>
      <c r="S15" s="116"/>
      <c r="T15" s="116"/>
      <c r="U15" s="117"/>
      <c r="V15" s="117"/>
      <c r="W15" s="116"/>
      <c r="X15" s="116"/>
      <c r="Y15" s="116"/>
      <c r="Z15" s="116"/>
      <c r="AA15" s="15"/>
      <c r="AB15" s="15"/>
      <c r="AC15" s="15"/>
      <c r="AD15" s="15"/>
      <c r="AE15" s="118" t="str">
        <f>IF(NOT(ISBLANK(Audit[[#This Row],[Audit Winning Candidate]])), Audit[[#This Row],[Audit Winning Candidate]]-Audit[[#This Row],[Winning Candidate]], "")</f>
        <v/>
      </c>
      <c r="AF15" s="114" t="str">
        <f>IF(NOT(ISBLANK(Audit[[#This Row],[Audit Losing Candidate]])), Audit[[#This Row],[Audit Losing Candidate]]-Audit[[#This Row],[Losing Candidate]], "")</f>
        <v/>
      </c>
      <c r="AG15" s="114" t="str">
        <f>IF(NOT(ISBLANK(Audit[[#This Row],[Audit Candidate 3]])), Audit[[#This Row],[Audit Candidate 3]]-Audit[[#This Row],[Candidate 3]], "")</f>
        <v/>
      </c>
      <c r="AH15" s="114" t="str">
        <f>IF(NOT(ISBLANK(Audit[[#This Row],[Audit Candidate 4]])),Audit[[#This Row],[Audit Candidate 4]]-Audit[[#This Row],[Candidate 4]], "")</f>
        <v/>
      </c>
      <c r="AI15" s="114" t="str">
        <f>IF(NOT(ISBLANK(Audit[[#This Row],[Audit Candidate 5]])), Audit[[#This Row],[Audit Candidate 5]]-Audit[[#This Row],[Candidate 5]], "")</f>
        <v/>
      </c>
      <c r="AJ15" s="114" t="str">
        <f>IF(NOT(ISBLANK(Audit[[#This Row],[Audit Candidate 6]])), Audit[[#This Row],[Audit Candidate 6]]-Audit[[#This Row],[Candidate 6]], "")</f>
        <v/>
      </c>
      <c r="AK15" s="114" t="str">
        <f>IF(NOT(ISBLANK(Audit[[#This Row],[Audit Candidate 7]])), Audit[[#This Row],[Audit Candidate 7]]-Audit[[#This Row],[Candidate 7]], "")</f>
        <v/>
      </c>
      <c r="AL15" s="114" t="str">
        <f>IF(NOT(ISBLANK(Audit[[#This Row],[Audit Candidate 8]])), Audit[[#This Row],[Audit Candidate 8]]-Audit[[#This Row],[Candidate 8]], "")</f>
        <v/>
      </c>
      <c r="AM15" s="114" t="str">
        <f>IF(NOT(ISBLANK(Audit[[#This Row],[Audit Candidate 9]])), Audit[[#This Row],[Audit Candidate 9]]-Audit[[#This Row],[Candidate 9]], "")</f>
        <v/>
      </c>
      <c r="AN15" s="114" t="str">
        <f>IF(NOT(ISBLANK(Audit[[#This Row],[Audit Candidate 10]])), Audit[[#This Row],[Audit Candidate 10]]-Audit[[#This Row],[Candidate 10]], "")</f>
        <v/>
      </c>
      <c r="AO15" s="114" t="str">
        <f>IF(NOT(ISBLANK(Audit[[#This Row],[Audit Candidate 11]])), Audit[[#This Row],[Audit Candidate 11]]-Audit[[#This Row],[Candidate 11]], "")</f>
        <v/>
      </c>
      <c r="AP15" s="114" t="str">
        <f>IF(NOT(ISBLANK(Audit[[#This Row],[Audit Candidate 12]])), Audit[[#This Row],[Audit Candidate 12]]-Audit[[#This Row],[Candidate 12]], "")</f>
        <v/>
      </c>
      <c r="AQ15" s="114">
        <f>SUMIF(Audit[[#This Row],[Difference Winner]:[Difference Candidate 12]], "&gt;0")</f>
        <v>0</v>
      </c>
      <c r="AR15" s="114">
        <f>SUM(Audit[[#This Row],[Difference Winner]:[Difference Candidate 12]])</f>
        <v>0</v>
      </c>
      <c r="AS15" s="114">
        <f>IF(Audit[[#This Row],[Times p Drawn - With Replacement]]&gt;0, IF(Audit[[#This Row],[Canceled Differences]]&lt;0, Audit[[#This Row],[Max Differences]]+ABS(Audit[[#This Row],[Canceled Differences]]), Audit[[#This Row],[Max Differences]]), 0)</f>
        <v>0</v>
      </c>
      <c r="AT15" s="114">
        <f>'Sampling Data'!AB15</f>
        <v>4.2283298097251586E-2</v>
      </c>
      <c r="AU15" s="114">
        <f>IF(
      SUM(Audit[[#This Row],[Audit Losing Candidate]:[Audit Candidate 12]])
      &lt;&gt;0,
      (Audit[[#This Row],[Winning Candidate]]-Audit[[#This Row],[Losing Candidate]]-(Audit[[#This Row],[Audit Winning Candidate]]-Audit[[#This Row],[Audit Losing Candidate]]))/(Audit[[#Totals],[Winning Candidate]]-Audit[[#Totals],[Losing Candidate]]),
      0
)</f>
        <v>0</v>
      </c>
      <c r="AV1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5" s="114">
        <f>IF(Audit[[#This Row],[Max Relative Error (ep)]] = 0, 0, Audit[[#This Row],[Max Relative Error (ep)]]/Audit[[#This Row],[Error Bound (up) - Max. possible relative overstatement]])</f>
        <v>0</v>
      </c>
      <c r="BH1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15" s="114">
        <f t="shared" ref="BI15:BI59" si="1">IF(ISERR(POWER(BH15,R15)), 0, POWER(BH15,R15))</f>
        <v>1</v>
      </c>
      <c r="BJ15" s="114">
        <f>PRODUCT($BI$5:BI15)</f>
        <v>1</v>
      </c>
      <c r="BK15" s="112">
        <f>1 - Audit[[#This Row],[K-M P Value]]</f>
        <v>0</v>
      </c>
      <c r="BL15" s="114" t="str">
        <f>IF(Audit[[#This Row],[K-M P Value]]&gt;1-'General Info'!$B$12,"Continue", "Stop")</f>
        <v>Continue</v>
      </c>
      <c r="BM15" s="113" t="b">
        <f>IF(Audit[[#This Row],[Status - Continue or stop audit]] = "Continue", TRUE, IF(BL14 = "Continue", TRUE, FALSE))</f>
        <v>1</v>
      </c>
      <c r="BN15" s="113"/>
    </row>
    <row r="16" spans="1:67" ht="15" hidden="1" customHeight="1" x14ac:dyDescent="0.35">
      <c r="A16" s="114" t="str">
        <f>'Sampling Data'!AI16</f>
        <v/>
      </c>
      <c r="B16" s="114" t="str">
        <f>'Sampling Data'!A16</f>
        <v>5204 SPDALE D   (AV)</v>
      </c>
      <c r="C16" s="114">
        <f>'Sampling Data'!B16</f>
        <v>9</v>
      </c>
      <c r="D16" s="114">
        <f>'Sampling Data'!C16</f>
        <v>5</v>
      </c>
      <c r="E16" s="115">
        <f>'Sampling Data'!D16</f>
        <v>0</v>
      </c>
      <c r="F16" s="115">
        <f>'Sampling Data'!E16</f>
        <v>0</v>
      </c>
      <c r="G16" s="115">
        <f>'Sampling Data'!F16</f>
        <v>0</v>
      </c>
      <c r="H16" s="115">
        <f>'Sampling Data'!G16</f>
        <v>0</v>
      </c>
      <c r="I16" s="115">
        <f>'Sampling Data'!H16</f>
        <v>0</v>
      </c>
      <c r="J16" s="115">
        <f>'Sampling Data'!I16</f>
        <v>0</v>
      </c>
      <c r="K16" s="115">
        <f>'Sampling Data'!J16</f>
        <v>0</v>
      </c>
      <c r="L16" s="115">
        <f>'Sampling Data'!K16</f>
        <v>0</v>
      </c>
      <c r="M16" s="115">
        <f>'Sampling Data'!L16</f>
        <v>0</v>
      </c>
      <c r="N16" s="115">
        <f>'Sampling Data'!M16</f>
        <v>0</v>
      </c>
      <c r="O16" s="114">
        <f>'Sampling Data'!N16</f>
        <v>0</v>
      </c>
      <c r="P16" s="114">
        <f>'Sampling Data'!O16</f>
        <v>0</v>
      </c>
      <c r="Q16" s="114">
        <f>'Sampling Data'!P16</f>
        <v>14</v>
      </c>
      <c r="R16" s="114">
        <f>'Sampling Data'!AJ16</f>
        <v>0</v>
      </c>
      <c r="S16" s="116"/>
      <c r="T16" s="116"/>
      <c r="U16" s="117"/>
      <c r="V16" s="117"/>
      <c r="W16" s="116"/>
      <c r="X16" s="116"/>
      <c r="Y16" s="116"/>
      <c r="Z16" s="116"/>
      <c r="AA16" s="15"/>
      <c r="AB16" s="15"/>
      <c r="AC16" s="15"/>
      <c r="AD16" s="15"/>
      <c r="AE16" s="118" t="str">
        <f>IF(NOT(ISBLANK(Audit[[#This Row],[Audit Winning Candidate]])), Audit[[#This Row],[Audit Winning Candidate]]-Audit[[#This Row],[Winning Candidate]], "")</f>
        <v/>
      </c>
      <c r="AF16" s="114" t="str">
        <f>IF(NOT(ISBLANK(Audit[[#This Row],[Audit Losing Candidate]])), Audit[[#This Row],[Audit Losing Candidate]]-Audit[[#This Row],[Losing Candidate]], "")</f>
        <v/>
      </c>
      <c r="AG16" s="114" t="str">
        <f>IF(NOT(ISBLANK(Audit[[#This Row],[Audit Candidate 3]])), Audit[[#This Row],[Audit Candidate 3]]-Audit[[#This Row],[Candidate 3]], "")</f>
        <v/>
      </c>
      <c r="AH16" s="114" t="str">
        <f>IF(NOT(ISBLANK(Audit[[#This Row],[Audit Candidate 4]])),Audit[[#This Row],[Audit Candidate 4]]-Audit[[#This Row],[Candidate 4]], "")</f>
        <v/>
      </c>
      <c r="AI16" s="114" t="str">
        <f>IF(NOT(ISBLANK(Audit[[#This Row],[Audit Candidate 5]])), Audit[[#This Row],[Audit Candidate 5]]-Audit[[#This Row],[Candidate 5]], "")</f>
        <v/>
      </c>
      <c r="AJ16" s="114" t="str">
        <f>IF(NOT(ISBLANK(Audit[[#This Row],[Audit Candidate 6]])), Audit[[#This Row],[Audit Candidate 6]]-Audit[[#This Row],[Candidate 6]], "")</f>
        <v/>
      </c>
      <c r="AK16" s="114" t="str">
        <f>IF(NOT(ISBLANK(Audit[[#This Row],[Audit Candidate 7]])), Audit[[#This Row],[Audit Candidate 7]]-Audit[[#This Row],[Candidate 7]], "")</f>
        <v/>
      </c>
      <c r="AL16" s="114" t="str">
        <f>IF(NOT(ISBLANK(Audit[[#This Row],[Audit Candidate 8]])), Audit[[#This Row],[Audit Candidate 8]]-Audit[[#This Row],[Candidate 8]], "")</f>
        <v/>
      </c>
      <c r="AM16" s="114" t="str">
        <f>IF(NOT(ISBLANK(Audit[[#This Row],[Audit Candidate 9]])), Audit[[#This Row],[Audit Candidate 9]]-Audit[[#This Row],[Candidate 9]], "")</f>
        <v/>
      </c>
      <c r="AN16" s="114" t="str">
        <f>IF(NOT(ISBLANK(Audit[[#This Row],[Audit Candidate 10]])), Audit[[#This Row],[Audit Candidate 10]]-Audit[[#This Row],[Candidate 10]], "")</f>
        <v/>
      </c>
      <c r="AO16" s="114" t="str">
        <f>IF(NOT(ISBLANK(Audit[[#This Row],[Audit Candidate 11]])), Audit[[#This Row],[Audit Candidate 11]]-Audit[[#This Row],[Candidate 11]], "")</f>
        <v/>
      </c>
      <c r="AP16" s="114" t="str">
        <f>IF(NOT(ISBLANK(Audit[[#This Row],[Audit Candidate 12]])), Audit[[#This Row],[Audit Candidate 12]]-Audit[[#This Row],[Candidate 12]], "")</f>
        <v/>
      </c>
      <c r="AQ16" s="114">
        <f>SUMIF(Audit[[#This Row],[Difference Winner]:[Difference Candidate 12]], "&gt;0")</f>
        <v>0</v>
      </c>
      <c r="AR16" s="114">
        <f>SUM(Audit[[#This Row],[Difference Winner]:[Difference Candidate 12]])</f>
        <v>0</v>
      </c>
      <c r="AS16" s="114">
        <f>IF(Audit[[#This Row],[Times p Drawn - With Replacement]]&gt;0, IF(Audit[[#This Row],[Canceled Differences]]&lt;0, Audit[[#This Row],[Max Differences]]+ABS(Audit[[#This Row],[Canceled Differences]]), Audit[[#This Row],[Max Differences]]), 0)</f>
        <v>0</v>
      </c>
      <c r="AT16" s="114">
        <f>'Sampling Data'!AB16</f>
        <v>3.8054968287526428E-2</v>
      </c>
      <c r="AU16" s="114">
        <f>IF(
      SUM(Audit[[#This Row],[Audit Losing Candidate]:[Audit Candidate 12]])
      &lt;&gt;0,
      (Audit[[#This Row],[Winning Candidate]]-Audit[[#This Row],[Losing Candidate]]-(Audit[[#This Row],[Audit Winning Candidate]]-Audit[[#This Row],[Audit Losing Candidate]]))/(Audit[[#Totals],[Winning Candidate]]-Audit[[#Totals],[Losing Candidate]]),
      0
)</f>
        <v>0</v>
      </c>
      <c r="AV1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6" s="114">
        <f>IF(Audit[[#This Row],[Max Relative Error (ep)]] = 0, 0, Audit[[#This Row],[Max Relative Error (ep)]]/Audit[[#This Row],[Error Bound (up) - Max. possible relative overstatement]])</f>
        <v>0</v>
      </c>
      <c r="BH1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16" s="114">
        <f t="shared" si="1"/>
        <v>1</v>
      </c>
      <c r="BJ16" s="114">
        <f>PRODUCT($BI$5:BI16)</f>
        <v>1</v>
      </c>
      <c r="BK16" s="112">
        <f>1 - Audit[[#This Row],[K-M P Value]]</f>
        <v>0</v>
      </c>
      <c r="BL16" s="114" t="str">
        <f>IF(Audit[[#This Row],[K-M P Value]]&gt;1-'General Info'!$B$12,"Continue", "Stop")</f>
        <v>Continue</v>
      </c>
      <c r="BM16" s="113" t="b">
        <f>IF(Audit[[#This Row],[Status - Continue or stop audit]] = "Continue", TRUE, IF(BL15 = "Continue", TRUE, FALSE))</f>
        <v>1</v>
      </c>
      <c r="BN16" s="113"/>
    </row>
    <row r="17" spans="1:66" ht="15" hidden="1" customHeight="1" x14ac:dyDescent="0.35">
      <c r="A17" s="114" t="str">
        <f>'Sampling Data'!AI17</f>
        <v/>
      </c>
      <c r="B17" s="114" t="str">
        <f>'Sampling Data'!A17</f>
        <v>5205 SPDALE E   (AV)</v>
      </c>
      <c r="C17" s="114">
        <f>'Sampling Data'!B17</f>
        <v>6</v>
      </c>
      <c r="D17" s="114">
        <f>'Sampling Data'!C17</f>
        <v>18</v>
      </c>
      <c r="E17" s="115">
        <f>'Sampling Data'!D17</f>
        <v>0</v>
      </c>
      <c r="F17" s="115">
        <f>'Sampling Data'!E17</f>
        <v>0</v>
      </c>
      <c r="G17" s="115">
        <f>'Sampling Data'!F17</f>
        <v>0</v>
      </c>
      <c r="H17" s="115">
        <f>'Sampling Data'!G17</f>
        <v>0</v>
      </c>
      <c r="I17" s="115">
        <f>'Sampling Data'!H17</f>
        <v>0</v>
      </c>
      <c r="J17" s="115">
        <f>'Sampling Data'!I17</f>
        <v>0</v>
      </c>
      <c r="K17" s="115">
        <f>'Sampling Data'!J17</f>
        <v>0</v>
      </c>
      <c r="L17" s="115">
        <f>'Sampling Data'!K17</f>
        <v>0</v>
      </c>
      <c r="M17" s="115">
        <f>'Sampling Data'!L17</f>
        <v>0</v>
      </c>
      <c r="N17" s="115">
        <f>'Sampling Data'!M17</f>
        <v>0</v>
      </c>
      <c r="O17" s="114">
        <f>'Sampling Data'!N17</f>
        <v>0</v>
      </c>
      <c r="P17" s="114">
        <f>'Sampling Data'!O17</f>
        <v>0</v>
      </c>
      <c r="Q17" s="114">
        <f>'Sampling Data'!P17</f>
        <v>24</v>
      </c>
      <c r="R17" s="114">
        <f>'Sampling Data'!AJ17</f>
        <v>0</v>
      </c>
      <c r="S17" s="116"/>
      <c r="T17" s="116"/>
      <c r="U17" s="117"/>
      <c r="V17" s="117"/>
      <c r="W17" s="116"/>
      <c r="X17" s="116"/>
      <c r="Y17" s="116"/>
      <c r="Z17" s="116"/>
      <c r="AA17" s="15"/>
      <c r="AB17" s="15"/>
      <c r="AC17" s="15"/>
      <c r="AD17" s="15"/>
      <c r="AE17" s="118" t="str">
        <f>IF(NOT(ISBLANK(Audit[[#This Row],[Audit Winning Candidate]])), Audit[[#This Row],[Audit Winning Candidate]]-Audit[[#This Row],[Winning Candidate]], "")</f>
        <v/>
      </c>
      <c r="AF17" s="114" t="str">
        <f>IF(NOT(ISBLANK(Audit[[#This Row],[Audit Losing Candidate]])), Audit[[#This Row],[Audit Losing Candidate]]-Audit[[#This Row],[Losing Candidate]], "")</f>
        <v/>
      </c>
      <c r="AG17" s="114" t="str">
        <f>IF(NOT(ISBLANK(Audit[[#This Row],[Audit Candidate 3]])), Audit[[#This Row],[Audit Candidate 3]]-Audit[[#This Row],[Candidate 3]], "")</f>
        <v/>
      </c>
      <c r="AH17" s="114" t="str">
        <f>IF(NOT(ISBLANK(Audit[[#This Row],[Audit Candidate 4]])),Audit[[#This Row],[Audit Candidate 4]]-Audit[[#This Row],[Candidate 4]], "")</f>
        <v/>
      </c>
      <c r="AI17" s="114" t="str">
        <f>IF(NOT(ISBLANK(Audit[[#This Row],[Audit Candidate 5]])), Audit[[#This Row],[Audit Candidate 5]]-Audit[[#This Row],[Candidate 5]], "")</f>
        <v/>
      </c>
      <c r="AJ17" s="114" t="str">
        <f>IF(NOT(ISBLANK(Audit[[#This Row],[Audit Candidate 6]])), Audit[[#This Row],[Audit Candidate 6]]-Audit[[#This Row],[Candidate 6]], "")</f>
        <v/>
      </c>
      <c r="AK17" s="114" t="str">
        <f>IF(NOT(ISBLANK(Audit[[#This Row],[Audit Candidate 7]])), Audit[[#This Row],[Audit Candidate 7]]-Audit[[#This Row],[Candidate 7]], "")</f>
        <v/>
      </c>
      <c r="AL17" s="114" t="str">
        <f>IF(NOT(ISBLANK(Audit[[#This Row],[Audit Candidate 8]])), Audit[[#This Row],[Audit Candidate 8]]-Audit[[#This Row],[Candidate 8]], "")</f>
        <v/>
      </c>
      <c r="AM17" s="114" t="str">
        <f>IF(NOT(ISBLANK(Audit[[#This Row],[Audit Candidate 9]])), Audit[[#This Row],[Audit Candidate 9]]-Audit[[#This Row],[Candidate 9]], "")</f>
        <v/>
      </c>
      <c r="AN17" s="114" t="str">
        <f>IF(NOT(ISBLANK(Audit[[#This Row],[Audit Candidate 10]])), Audit[[#This Row],[Audit Candidate 10]]-Audit[[#This Row],[Candidate 10]], "")</f>
        <v/>
      </c>
      <c r="AO17" s="114" t="str">
        <f>IF(NOT(ISBLANK(Audit[[#This Row],[Audit Candidate 11]])), Audit[[#This Row],[Audit Candidate 11]]-Audit[[#This Row],[Candidate 11]], "")</f>
        <v/>
      </c>
      <c r="AP17" s="114" t="str">
        <f>IF(NOT(ISBLANK(Audit[[#This Row],[Audit Candidate 12]])), Audit[[#This Row],[Audit Candidate 12]]-Audit[[#This Row],[Candidate 12]], "")</f>
        <v/>
      </c>
      <c r="AQ17" s="114">
        <f>SUMIF(Audit[[#This Row],[Difference Winner]:[Difference Candidate 12]], "&gt;0")</f>
        <v>0</v>
      </c>
      <c r="AR17" s="114">
        <f>SUM(Audit[[#This Row],[Difference Winner]:[Difference Candidate 12]])</f>
        <v>0</v>
      </c>
      <c r="AS17" s="114">
        <f>IF(Audit[[#This Row],[Times p Drawn - With Replacement]]&gt;0, IF(Audit[[#This Row],[Canceled Differences]]&lt;0, Audit[[#This Row],[Max Differences]]+ABS(Audit[[#This Row],[Canceled Differences]]), Audit[[#This Row],[Max Differences]]), 0)</f>
        <v>0</v>
      </c>
      <c r="AT17" s="114">
        <f>'Sampling Data'!AB17</f>
        <v>2.5369978858350951E-2</v>
      </c>
      <c r="AU17" s="114">
        <f>IF(
      SUM(Audit[[#This Row],[Audit Losing Candidate]:[Audit Candidate 12]])
      &lt;&gt;0,
      (Audit[[#This Row],[Winning Candidate]]-Audit[[#This Row],[Losing Candidate]]-(Audit[[#This Row],[Audit Winning Candidate]]-Audit[[#This Row],[Audit Losing Candidate]]))/(Audit[[#Totals],[Winning Candidate]]-Audit[[#Totals],[Losing Candidate]]),
      0
)</f>
        <v>0</v>
      </c>
      <c r="AV1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7" s="114">
        <f>IF(Audit[[#This Row],[Max Relative Error (ep)]] = 0, 0, Audit[[#This Row],[Max Relative Error (ep)]]/Audit[[#This Row],[Error Bound (up) - Max. possible relative overstatement]])</f>
        <v>0</v>
      </c>
      <c r="BH1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17" s="114">
        <f t="shared" si="1"/>
        <v>1</v>
      </c>
      <c r="BJ17" s="114">
        <f>PRODUCT($BI$5:BI17)</f>
        <v>1</v>
      </c>
      <c r="BK17" s="112">
        <f>1 - Audit[[#This Row],[K-M P Value]]</f>
        <v>0</v>
      </c>
      <c r="BL17" s="114" t="str">
        <f>IF(Audit[[#This Row],[K-M P Value]]&gt;1-'General Info'!$B$12,"Continue", "Stop")</f>
        <v>Continue</v>
      </c>
      <c r="BM17" s="113" t="b">
        <f>IF(Audit[[#This Row],[Status - Continue or stop audit]] = "Continue", TRUE, IF(BL16 = "Continue", TRUE, FALSE))</f>
        <v>1</v>
      </c>
      <c r="BN17" s="113"/>
    </row>
    <row r="18" spans="1:66" ht="15" hidden="1" customHeight="1" x14ac:dyDescent="0.35">
      <c r="A18" s="114" t="str">
        <f>'Sampling Data'!AI18</f>
        <v/>
      </c>
      <c r="B18" s="114" t="str">
        <f>'Sampling Data'!A18</f>
        <v>5206 SPDALE F   (AV)</v>
      </c>
      <c r="C18" s="114">
        <f>'Sampling Data'!B18</f>
        <v>7</v>
      </c>
      <c r="D18" s="114">
        <f>'Sampling Data'!C18</f>
        <v>14</v>
      </c>
      <c r="E18" s="115">
        <f>'Sampling Data'!D18</f>
        <v>0</v>
      </c>
      <c r="F18" s="115">
        <f>'Sampling Data'!E18</f>
        <v>0</v>
      </c>
      <c r="G18" s="115">
        <f>'Sampling Data'!F18</f>
        <v>0</v>
      </c>
      <c r="H18" s="115">
        <f>'Sampling Data'!G18</f>
        <v>0</v>
      </c>
      <c r="I18" s="115">
        <f>'Sampling Data'!H18</f>
        <v>0</v>
      </c>
      <c r="J18" s="115">
        <f>'Sampling Data'!I18</f>
        <v>0</v>
      </c>
      <c r="K18" s="115">
        <f>'Sampling Data'!J18</f>
        <v>0</v>
      </c>
      <c r="L18" s="115">
        <f>'Sampling Data'!K18</f>
        <v>0</v>
      </c>
      <c r="M18" s="115">
        <f>'Sampling Data'!L18</f>
        <v>0</v>
      </c>
      <c r="N18" s="115">
        <f>'Sampling Data'!M18</f>
        <v>0</v>
      </c>
      <c r="O18" s="114">
        <f>'Sampling Data'!N18</f>
        <v>0</v>
      </c>
      <c r="P18" s="114">
        <f>'Sampling Data'!O18</f>
        <v>0</v>
      </c>
      <c r="Q18" s="114">
        <f>'Sampling Data'!P18</f>
        <v>21</v>
      </c>
      <c r="R18" s="114">
        <f>'Sampling Data'!AJ18</f>
        <v>0</v>
      </c>
      <c r="S18" s="116"/>
      <c r="T18" s="116"/>
      <c r="U18" s="117"/>
      <c r="V18" s="117"/>
      <c r="W18" s="116"/>
      <c r="X18" s="116"/>
      <c r="Y18" s="116"/>
      <c r="Z18" s="116"/>
      <c r="AA18" s="15"/>
      <c r="AB18" s="15"/>
      <c r="AC18" s="15"/>
      <c r="AD18" s="15"/>
      <c r="AE18" s="118" t="str">
        <f>IF(NOT(ISBLANK(Audit[[#This Row],[Audit Winning Candidate]])), Audit[[#This Row],[Audit Winning Candidate]]-Audit[[#This Row],[Winning Candidate]], "")</f>
        <v/>
      </c>
      <c r="AF18" s="114" t="str">
        <f>IF(NOT(ISBLANK(Audit[[#This Row],[Audit Losing Candidate]])), Audit[[#This Row],[Audit Losing Candidate]]-Audit[[#This Row],[Losing Candidate]], "")</f>
        <v/>
      </c>
      <c r="AG18" s="114" t="str">
        <f>IF(NOT(ISBLANK(Audit[[#This Row],[Audit Candidate 3]])), Audit[[#This Row],[Audit Candidate 3]]-Audit[[#This Row],[Candidate 3]], "")</f>
        <v/>
      </c>
      <c r="AH18" s="114" t="str">
        <f>IF(NOT(ISBLANK(Audit[[#This Row],[Audit Candidate 4]])),Audit[[#This Row],[Audit Candidate 4]]-Audit[[#This Row],[Candidate 4]], "")</f>
        <v/>
      </c>
      <c r="AI18" s="114" t="str">
        <f>IF(NOT(ISBLANK(Audit[[#This Row],[Audit Candidate 5]])), Audit[[#This Row],[Audit Candidate 5]]-Audit[[#This Row],[Candidate 5]], "")</f>
        <v/>
      </c>
      <c r="AJ18" s="114" t="str">
        <f>IF(NOT(ISBLANK(Audit[[#This Row],[Audit Candidate 6]])), Audit[[#This Row],[Audit Candidate 6]]-Audit[[#This Row],[Candidate 6]], "")</f>
        <v/>
      </c>
      <c r="AK18" s="114" t="str">
        <f>IF(NOT(ISBLANK(Audit[[#This Row],[Audit Candidate 7]])), Audit[[#This Row],[Audit Candidate 7]]-Audit[[#This Row],[Candidate 7]], "")</f>
        <v/>
      </c>
      <c r="AL18" s="114" t="str">
        <f>IF(NOT(ISBLANK(Audit[[#This Row],[Audit Candidate 8]])), Audit[[#This Row],[Audit Candidate 8]]-Audit[[#This Row],[Candidate 8]], "")</f>
        <v/>
      </c>
      <c r="AM18" s="114" t="str">
        <f>IF(NOT(ISBLANK(Audit[[#This Row],[Audit Candidate 9]])), Audit[[#This Row],[Audit Candidate 9]]-Audit[[#This Row],[Candidate 9]], "")</f>
        <v/>
      </c>
      <c r="AN18" s="114" t="str">
        <f>IF(NOT(ISBLANK(Audit[[#This Row],[Audit Candidate 10]])), Audit[[#This Row],[Audit Candidate 10]]-Audit[[#This Row],[Candidate 10]], "")</f>
        <v/>
      </c>
      <c r="AO18" s="114" t="str">
        <f>IF(NOT(ISBLANK(Audit[[#This Row],[Audit Candidate 11]])), Audit[[#This Row],[Audit Candidate 11]]-Audit[[#This Row],[Candidate 11]], "")</f>
        <v/>
      </c>
      <c r="AP18" s="114" t="str">
        <f>IF(NOT(ISBLANK(Audit[[#This Row],[Audit Candidate 12]])), Audit[[#This Row],[Audit Candidate 12]]-Audit[[#This Row],[Candidate 12]], "")</f>
        <v/>
      </c>
      <c r="AQ18" s="114">
        <f>SUMIF(Audit[[#This Row],[Difference Winner]:[Difference Candidate 12]], "&gt;0")</f>
        <v>0</v>
      </c>
      <c r="AR18" s="114">
        <f>SUM(Audit[[#This Row],[Difference Winner]:[Difference Candidate 12]])</f>
        <v>0</v>
      </c>
      <c r="AS18" s="114">
        <f>IF(Audit[[#This Row],[Times p Drawn - With Replacement]]&gt;0, IF(Audit[[#This Row],[Canceled Differences]]&lt;0, Audit[[#This Row],[Max Differences]]+ABS(Audit[[#This Row],[Canceled Differences]]), Audit[[#This Row],[Max Differences]]), 0)</f>
        <v>0</v>
      </c>
      <c r="AT18" s="114">
        <f>'Sampling Data'!AB18</f>
        <v>2.9598308668076109E-2</v>
      </c>
      <c r="AU18" s="114">
        <f>IF(
      SUM(Audit[[#This Row],[Audit Losing Candidate]:[Audit Candidate 12]])
      &lt;&gt;0,
      (Audit[[#This Row],[Winning Candidate]]-Audit[[#This Row],[Losing Candidate]]-(Audit[[#This Row],[Audit Winning Candidate]]-Audit[[#This Row],[Audit Losing Candidate]]))/(Audit[[#Totals],[Winning Candidate]]-Audit[[#Totals],[Losing Candidate]]),
      0
)</f>
        <v>0</v>
      </c>
      <c r="AV1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8" s="114">
        <f>IF(Audit[[#This Row],[Max Relative Error (ep)]] = 0, 0, Audit[[#This Row],[Max Relative Error (ep)]]/Audit[[#This Row],[Error Bound (up) - Max. possible relative overstatement]])</f>
        <v>0</v>
      </c>
      <c r="BH1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18" s="114">
        <f t="shared" si="1"/>
        <v>1</v>
      </c>
      <c r="BJ18" s="114">
        <f>PRODUCT($BI$5:BI18)</f>
        <v>1</v>
      </c>
      <c r="BK18" s="112">
        <f>1 - Audit[[#This Row],[K-M P Value]]</f>
        <v>0</v>
      </c>
      <c r="BL18" s="114" t="str">
        <f>IF(Audit[[#This Row],[K-M P Value]]&gt;1-'General Info'!$B$12,"Continue", "Stop")</f>
        <v>Continue</v>
      </c>
      <c r="BM18" s="113" t="b">
        <f>IF(Audit[[#This Row],[Status - Continue or stop audit]] = "Continue", TRUE, IF(BL17 = "Continue", TRUE, FALSE))</f>
        <v>1</v>
      </c>
      <c r="BN18" s="113"/>
    </row>
    <row r="19" spans="1:66" ht="15" hidden="1" customHeight="1" x14ac:dyDescent="0.35">
      <c r="A19" s="114" t="str">
        <f>'Sampling Data'!AI19</f>
        <v/>
      </c>
      <c r="B19" s="114" t="str">
        <f>'Sampling Data'!A19</f>
        <v>5207 SPDALE G   (AV)</v>
      </c>
      <c r="C19" s="114">
        <f>'Sampling Data'!B19</f>
        <v>7</v>
      </c>
      <c r="D19" s="114">
        <f>'Sampling Data'!C19</f>
        <v>3</v>
      </c>
      <c r="E19" s="115">
        <f>'Sampling Data'!D19</f>
        <v>0</v>
      </c>
      <c r="F19" s="115">
        <f>'Sampling Data'!E19</f>
        <v>0</v>
      </c>
      <c r="G19" s="115">
        <f>'Sampling Data'!F19</f>
        <v>0</v>
      </c>
      <c r="H19" s="115">
        <f>'Sampling Data'!G19</f>
        <v>0</v>
      </c>
      <c r="I19" s="115">
        <f>'Sampling Data'!H19</f>
        <v>0</v>
      </c>
      <c r="J19" s="115">
        <f>'Sampling Data'!I19</f>
        <v>0</v>
      </c>
      <c r="K19" s="115">
        <f>'Sampling Data'!J19</f>
        <v>0</v>
      </c>
      <c r="L19" s="115">
        <f>'Sampling Data'!K19</f>
        <v>0</v>
      </c>
      <c r="M19" s="115">
        <f>'Sampling Data'!L19</f>
        <v>0</v>
      </c>
      <c r="N19" s="115">
        <f>'Sampling Data'!M19</f>
        <v>0</v>
      </c>
      <c r="O19" s="114">
        <f>'Sampling Data'!N19</f>
        <v>0</v>
      </c>
      <c r="P19" s="114">
        <f>'Sampling Data'!O19</f>
        <v>0</v>
      </c>
      <c r="Q19" s="114">
        <f>'Sampling Data'!P19</f>
        <v>10</v>
      </c>
      <c r="R19" s="114">
        <f>'Sampling Data'!AJ19</f>
        <v>0</v>
      </c>
      <c r="S19" s="116"/>
      <c r="T19" s="116"/>
      <c r="U19" s="117"/>
      <c r="V19" s="117"/>
      <c r="W19" s="116"/>
      <c r="X19" s="116"/>
      <c r="Y19" s="116"/>
      <c r="Z19" s="116"/>
      <c r="AA19" s="15"/>
      <c r="AB19" s="15"/>
      <c r="AC19" s="15"/>
      <c r="AD19" s="15"/>
      <c r="AE19" s="118" t="str">
        <f>IF(NOT(ISBLANK(Audit[[#This Row],[Audit Winning Candidate]])), Audit[[#This Row],[Audit Winning Candidate]]-Audit[[#This Row],[Winning Candidate]], "")</f>
        <v/>
      </c>
      <c r="AF19" s="114" t="str">
        <f>IF(NOT(ISBLANK(Audit[[#This Row],[Audit Losing Candidate]])), Audit[[#This Row],[Audit Losing Candidate]]-Audit[[#This Row],[Losing Candidate]], "")</f>
        <v/>
      </c>
      <c r="AG19" s="114" t="str">
        <f>IF(NOT(ISBLANK(Audit[[#This Row],[Audit Candidate 3]])), Audit[[#This Row],[Audit Candidate 3]]-Audit[[#This Row],[Candidate 3]], "")</f>
        <v/>
      </c>
      <c r="AH19" s="114" t="str">
        <f>IF(NOT(ISBLANK(Audit[[#This Row],[Audit Candidate 4]])),Audit[[#This Row],[Audit Candidate 4]]-Audit[[#This Row],[Candidate 4]], "")</f>
        <v/>
      </c>
      <c r="AI19" s="114" t="str">
        <f>IF(NOT(ISBLANK(Audit[[#This Row],[Audit Candidate 5]])), Audit[[#This Row],[Audit Candidate 5]]-Audit[[#This Row],[Candidate 5]], "")</f>
        <v/>
      </c>
      <c r="AJ19" s="114" t="str">
        <f>IF(NOT(ISBLANK(Audit[[#This Row],[Audit Candidate 6]])), Audit[[#This Row],[Audit Candidate 6]]-Audit[[#This Row],[Candidate 6]], "")</f>
        <v/>
      </c>
      <c r="AK19" s="114" t="str">
        <f>IF(NOT(ISBLANK(Audit[[#This Row],[Audit Candidate 7]])), Audit[[#This Row],[Audit Candidate 7]]-Audit[[#This Row],[Candidate 7]], "")</f>
        <v/>
      </c>
      <c r="AL19" s="114" t="str">
        <f>IF(NOT(ISBLANK(Audit[[#This Row],[Audit Candidate 8]])), Audit[[#This Row],[Audit Candidate 8]]-Audit[[#This Row],[Candidate 8]], "")</f>
        <v/>
      </c>
      <c r="AM19" s="114" t="str">
        <f>IF(NOT(ISBLANK(Audit[[#This Row],[Audit Candidate 9]])), Audit[[#This Row],[Audit Candidate 9]]-Audit[[#This Row],[Candidate 9]], "")</f>
        <v/>
      </c>
      <c r="AN19" s="114" t="str">
        <f>IF(NOT(ISBLANK(Audit[[#This Row],[Audit Candidate 10]])), Audit[[#This Row],[Audit Candidate 10]]-Audit[[#This Row],[Candidate 10]], "")</f>
        <v/>
      </c>
      <c r="AO19" s="114" t="str">
        <f>IF(NOT(ISBLANK(Audit[[#This Row],[Audit Candidate 11]])), Audit[[#This Row],[Audit Candidate 11]]-Audit[[#This Row],[Candidate 11]], "")</f>
        <v/>
      </c>
      <c r="AP19" s="114" t="str">
        <f>IF(NOT(ISBLANK(Audit[[#This Row],[Audit Candidate 12]])), Audit[[#This Row],[Audit Candidate 12]]-Audit[[#This Row],[Candidate 12]], "")</f>
        <v/>
      </c>
      <c r="AQ19" s="114">
        <f>SUMIF(Audit[[#This Row],[Difference Winner]:[Difference Candidate 12]], "&gt;0")</f>
        <v>0</v>
      </c>
      <c r="AR19" s="114">
        <f>SUM(Audit[[#This Row],[Difference Winner]:[Difference Candidate 12]])</f>
        <v>0</v>
      </c>
      <c r="AS19" s="114">
        <f>IF(Audit[[#This Row],[Times p Drawn - With Replacement]]&gt;0, IF(Audit[[#This Row],[Canceled Differences]]&lt;0, Audit[[#This Row],[Max Differences]]+ABS(Audit[[#This Row],[Canceled Differences]]), Audit[[#This Row],[Max Differences]]), 0)</f>
        <v>0</v>
      </c>
      <c r="AT19" s="114">
        <f>'Sampling Data'!AB19</f>
        <v>2.9598308668076109E-2</v>
      </c>
      <c r="AU19" s="114">
        <f>IF(
      SUM(Audit[[#This Row],[Audit Losing Candidate]:[Audit Candidate 12]])
      &lt;&gt;0,
      (Audit[[#This Row],[Winning Candidate]]-Audit[[#This Row],[Losing Candidate]]-(Audit[[#This Row],[Audit Winning Candidate]]-Audit[[#This Row],[Audit Losing Candidate]]))/(Audit[[#Totals],[Winning Candidate]]-Audit[[#Totals],[Losing Candidate]]),
      0
)</f>
        <v>0</v>
      </c>
      <c r="AV1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1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1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1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1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1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1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1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1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1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1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19" s="114">
        <f>IF(Audit[[#This Row],[Max Relative Error (ep)]] = 0, 0, Audit[[#This Row],[Max Relative Error (ep)]]/Audit[[#This Row],[Error Bound (up) - Max. possible relative overstatement]])</f>
        <v>0</v>
      </c>
      <c r="BH1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19" s="114">
        <f t="shared" si="1"/>
        <v>1</v>
      </c>
      <c r="BJ19" s="114">
        <f>PRODUCT($BI$5:BI19)</f>
        <v>1</v>
      </c>
      <c r="BK19" s="112">
        <f>1 - Audit[[#This Row],[K-M P Value]]</f>
        <v>0</v>
      </c>
      <c r="BL19" s="114" t="str">
        <f>IF(Audit[[#This Row],[K-M P Value]]&gt;1-'General Info'!$B$12,"Continue", "Stop")</f>
        <v>Continue</v>
      </c>
      <c r="BM19" s="113" t="b">
        <f>IF(Audit[[#This Row],[Status - Continue or stop audit]] = "Continue", TRUE, IF(BL18 = "Continue", TRUE, FALSE))</f>
        <v>1</v>
      </c>
      <c r="BN19" s="113"/>
    </row>
    <row r="20" spans="1:66" ht="15" hidden="1" customHeight="1" x14ac:dyDescent="0.35">
      <c r="A20" s="114" t="str">
        <f>'Sampling Data'!AI20</f>
        <v/>
      </c>
      <c r="B20" s="114" t="str">
        <f>'Sampling Data'!A20</f>
        <v>5208 SPDALE H   (AV)</v>
      </c>
      <c r="C20" s="114">
        <f>'Sampling Data'!B20</f>
        <v>9</v>
      </c>
      <c r="D20" s="114">
        <f>'Sampling Data'!C20</f>
        <v>3</v>
      </c>
      <c r="E20" s="115">
        <f>'Sampling Data'!D20</f>
        <v>0</v>
      </c>
      <c r="F20" s="115">
        <f>'Sampling Data'!E20</f>
        <v>0</v>
      </c>
      <c r="G20" s="115">
        <f>'Sampling Data'!F20</f>
        <v>0</v>
      </c>
      <c r="H20" s="115">
        <f>'Sampling Data'!G20</f>
        <v>0</v>
      </c>
      <c r="I20" s="115">
        <f>'Sampling Data'!H20</f>
        <v>0</v>
      </c>
      <c r="J20" s="115">
        <f>'Sampling Data'!I20</f>
        <v>0</v>
      </c>
      <c r="K20" s="115">
        <f>'Sampling Data'!J20</f>
        <v>0</v>
      </c>
      <c r="L20" s="115">
        <f>'Sampling Data'!K20</f>
        <v>0</v>
      </c>
      <c r="M20" s="115">
        <f>'Sampling Data'!L20</f>
        <v>0</v>
      </c>
      <c r="N20" s="115">
        <f>'Sampling Data'!M20</f>
        <v>0</v>
      </c>
      <c r="O20" s="114">
        <f>'Sampling Data'!N20</f>
        <v>0</v>
      </c>
      <c r="P20" s="114">
        <f>'Sampling Data'!O20</f>
        <v>0</v>
      </c>
      <c r="Q20" s="114">
        <f>'Sampling Data'!P20</f>
        <v>12</v>
      </c>
      <c r="R20" s="114">
        <f>'Sampling Data'!AJ20</f>
        <v>0</v>
      </c>
      <c r="S20" s="116"/>
      <c r="T20" s="116"/>
      <c r="U20" s="117"/>
      <c r="V20" s="117"/>
      <c r="W20" s="116"/>
      <c r="X20" s="116"/>
      <c r="Y20" s="116"/>
      <c r="Z20" s="116"/>
      <c r="AA20" s="15"/>
      <c r="AB20" s="15"/>
      <c r="AC20" s="15"/>
      <c r="AD20" s="15"/>
      <c r="AE20" s="118" t="str">
        <f>IF(NOT(ISBLANK(Audit[[#This Row],[Audit Winning Candidate]])), Audit[[#This Row],[Audit Winning Candidate]]-Audit[[#This Row],[Winning Candidate]], "")</f>
        <v/>
      </c>
      <c r="AF20" s="114" t="str">
        <f>IF(NOT(ISBLANK(Audit[[#This Row],[Audit Losing Candidate]])), Audit[[#This Row],[Audit Losing Candidate]]-Audit[[#This Row],[Losing Candidate]], "")</f>
        <v/>
      </c>
      <c r="AG20" s="114" t="str">
        <f>IF(NOT(ISBLANK(Audit[[#This Row],[Audit Candidate 3]])), Audit[[#This Row],[Audit Candidate 3]]-Audit[[#This Row],[Candidate 3]], "")</f>
        <v/>
      </c>
      <c r="AH20" s="114" t="str">
        <f>IF(NOT(ISBLANK(Audit[[#This Row],[Audit Candidate 4]])),Audit[[#This Row],[Audit Candidate 4]]-Audit[[#This Row],[Candidate 4]], "")</f>
        <v/>
      </c>
      <c r="AI20" s="114" t="str">
        <f>IF(NOT(ISBLANK(Audit[[#This Row],[Audit Candidate 5]])), Audit[[#This Row],[Audit Candidate 5]]-Audit[[#This Row],[Candidate 5]], "")</f>
        <v/>
      </c>
      <c r="AJ20" s="114" t="str">
        <f>IF(NOT(ISBLANK(Audit[[#This Row],[Audit Candidate 6]])), Audit[[#This Row],[Audit Candidate 6]]-Audit[[#This Row],[Candidate 6]], "")</f>
        <v/>
      </c>
      <c r="AK20" s="114" t="str">
        <f>IF(NOT(ISBLANK(Audit[[#This Row],[Audit Candidate 7]])), Audit[[#This Row],[Audit Candidate 7]]-Audit[[#This Row],[Candidate 7]], "")</f>
        <v/>
      </c>
      <c r="AL20" s="114" t="str">
        <f>IF(NOT(ISBLANK(Audit[[#This Row],[Audit Candidate 8]])), Audit[[#This Row],[Audit Candidate 8]]-Audit[[#This Row],[Candidate 8]], "")</f>
        <v/>
      </c>
      <c r="AM20" s="114" t="str">
        <f>IF(NOT(ISBLANK(Audit[[#This Row],[Audit Candidate 9]])), Audit[[#This Row],[Audit Candidate 9]]-Audit[[#This Row],[Candidate 9]], "")</f>
        <v/>
      </c>
      <c r="AN20" s="114" t="str">
        <f>IF(NOT(ISBLANK(Audit[[#This Row],[Audit Candidate 10]])), Audit[[#This Row],[Audit Candidate 10]]-Audit[[#This Row],[Candidate 10]], "")</f>
        <v/>
      </c>
      <c r="AO20" s="114" t="str">
        <f>IF(NOT(ISBLANK(Audit[[#This Row],[Audit Candidate 11]])), Audit[[#This Row],[Audit Candidate 11]]-Audit[[#This Row],[Candidate 11]], "")</f>
        <v/>
      </c>
      <c r="AP20" s="114" t="str">
        <f>IF(NOT(ISBLANK(Audit[[#This Row],[Audit Candidate 12]])), Audit[[#This Row],[Audit Candidate 12]]-Audit[[#This Row],[Candidate 12]], "")</f>
        <v/>
      </c>
      <c r="AQ20" s="114">
        <f>SUMIF(Audit[[#This Row],[Difference Winner]:[Difference Candidate 12]], "&gt;0")</f>
        <v>0</v>
      </c>
      <c r="AR20" s="114">
        <f>SUM(Audit[[#This Row],[Difference Winner]:[Difference Candidate 12]])</f>
        <v>0</v>
      </c>
      <c r="AS20" s="114">
        <f>IF(Audit[[#This Row],[Times p Drawn - With Replacement]]&gt;0, IF(Audit[[#This Row],[Canceled Differences]]&lt;0, Audit[[#This Row],[Max Differences]]+ABS(Audit[[#This Row],[Canceled Differences]]), Audit[[#This Row],[Max Differences]]), 0)</f>
        <v>0</v>
      </c>
      <c r="AT20" s="114">
        <f>'Sampling Data'!AB20</f>
        <v>3.8054968287526428E-2</v>
      </c>
      <c r="AU20" s="114">
        <f>IF(
      SUM(Audit[[#This Row],[Audit Losing Candidate]:[Audit Candidate 12]])
      &lt;&gt;0,
      (Audit[[#This Row],[Winning Candidate]]-Audit[[#This Row],[Losing Candidate]]-(Audit[[#This Row],[Audit Winning Candidate]]-Audit[[#This Row],[Audit Losing Candidate]]))/(Audit[[#Totals],[Winning Candidate]]-Audit[[#Totals],[Losing Candidate]]),
      0
)</f>
        <v>0</v>
      </c>
      <c r="AV2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0" s="114">
        <f>IF(Audit[[#This Row],[Max Relative Error (ep)]] = 0, 0, Audit[[#This Row],[Max Relative Error (ep)]]/Audit[[#This Row],[Error Bound (up) - Max. possible relative overstatement]])</f>
        <v>0</v>
      </c>
      <c r="BH2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20" s="114">
        <f t="shared" si="1"/>
        <v>1</v>
      </c>
      <c r="BJ20" s="114">
        <f>PRODUCT($BI$5:BI20)</f>
        <v>1</v>
      </c>
      <c r="BK20" s="112">
        <f>1 - Audit[[#This Row],[K-M P Value]]</f>
        <v>0</v>
      </c>
      <c r="BL20" s="114" t="str">
        <f>IF(Audit[[#This Row],[K-M P Value]]&gt;1-'General Info'!$B$12,"Continue", "Stop")</f>
        <v>Continue</v>
      </c>
      <c r="BM20" s="113" t="b">
        <f>IF(Audit[[#This Row],[Status - Continue or stop audit]] = "Continue", TRUE, IF(BL19 = "Continue", TRUE, FALSE))</f>
        <v>1</v>
      </c>
      <c r="BN20" s="113"/>
    </row>
    <row r="21" spans="1:66" ht="15" customHeight="1" x14ac:dyDescent="0.35">
      <c r="A21" s="114">
        <f>'Sampling Data'!AI21</f>
        <v>20</v>
      </c>
      <c r="B21" s="114" t="str">
        <f>'Sampling Data'!A21</f>
        <v>6801 EVEN A   (AV)</v>
      </c>
      <c r="C21" s="114">
        <f>'Sampling Data'!B21</f>
        <v>27</v>
      </c>
      <c r="D21" s="114">
        <f>'Sampling Data'!C21</f>
        <v>20</v>
      </c>
      <c r="E21" s="115">
        <f>'Sampling Data'!D21</f>
        <v>0</v>
      </c>
      <c r="F21" s="115">
        <f>'Sampling Data'!E21</f>
        <v>0</v>
      </c>
      <c r="G21" s="115">
        <f>'Sampling Data'!F21</f>
        <v>0</v>
      </c>
      <c r="H21" s="115">
        <f>'Sampling Data'!G21</f>
        <v>0</v>
      </c>
      <c r="I21" s="115">
        <f>'Sampling Data'!H21</f>
        <v>0</v>
      </c>
      <c r="J21" s="115">
        <f>'Sampling Data'!I21</f>
        <v>0</v>
      </c>
      <c r="K21" s="115">
        <f>'Sampling Data'!J21</f>
        <v>0</v>
      </c>
      <c r="L21" s="115">
        <f>'Sampling Data'!K21</f>
        <v>0</v>
      </c>
      <c r="M21" s="115">
        <f>'Sampling Data'!L21</f>
        <v>0</v>
      </c>
      <c r="N21" s="115">
        <f>'Sampling Data'!M21</f>
        <v>0</v>
      </c>
      <c r="O21" s="114">
        <f>'Sampling Data'!N21</f>
        <v>0</v>
      </c>
      <c r="P21" s="114">
        <f>'Sampling Data'!O21</f>
        <v>0</v>
      </c>
      <c r="Q21" s="114">
        <f>'Sampling Data'!P21</f>
        <v>47</v>
      </c>
      <c r="R21" s="114">
        <f>'Sampling Data'!AJ21</f>
        <v>2</v>
      </c>
      <c r="S21" s="116">
        <v>27</v>
      </c>
      <c r="T21" s="116">
        <v>20</v>
      </c>
      <c r="U21" s="117"/>
      <c r="V21" s="117"/>
      <c r="W21" s="116"/>
      <c r="X21" s="116"/>
      <c r="Y21" s="116"/>
      <c r="Z21" s="116"/>
      <c r="AA21" s="15"/>
      <c r="AB21" s="15"/>
      <c r="AC21" s="15"/>
      <c r="AD21" s="15"/>
      <c r="AE21" s="118">
        <f>IF(NOT(ISBLANK(Audit[[#This Row],[Audit Winning Candidate]])), Audit[[#This Row],[Audit Winning Candidate]]-Audit[[#This Row],[Winning Candidate]], "")</f>
        <v>0</v>
      </c>
      <c r="AF21" s="114">
        <f>IF(NOT(ISBLANK(Audit[[#This Row],[Audit Losing Candidate]])), Audit[[#This Row],[Audit Losing Candidate]]-Audit[[#This Row],[Losing Candidate]], "")</f>
        <v>0</v>
      </c>
      <c r="AG21" s="114" t="str">
        <f>IF(NOT(ISBLANK(Audit[[#This Row],[Audit Candidate 3]])), Audit[[#This Row],[Audit Candidate 3]]-Audit[[#This Row],[Candidate 3]], "")</f>
        <v/>
      </c>
      <c r="AH21" s="114" t="str">
        <f>IF(NOT(ISBLANK(Audit[[#This Row],[Audit Candidate 4]])),Audit[[#This Row],[Audit Candidate 4]]-Audit[[#This Row],[Candidate 4]], "")</f>
        <v/>
      </c>
      <c r="AI21" s="114" t="str">
        <f>IF(NOT(ISBLANK(Audit[[#This Row],[Audit Candidate 5]])), Audit[[#This Row],[Audit Candidate 5]]-Audit[[#This Row],[Candidate 5]], "")</f>
        <v/>
      </c>
      <c r="AJ21" s="114" t="str">
        <f>IF(NOT(ISBLANK(Audit[[#This Row],[Audit Candidate 6]])), Audit[[#This Row],[Audit Candidate 6]]-Audit[[#This Row],[Candidate 6]], "")</f>
        <v/>
      </c>
      <c r="AK21" s="114" t="str">
        <f>IF(NOT(ISBLANK(Audit[[#This Row],[Audit Candidate 7]])), Audit[[#This Row],[Audit Candidate 7]]-Audit[[#This Row],[Candidate 7]], "")</f>
        <v/>
      </c>
      <c r="AL21" s="114" t="str">
        <f>IF(NOT(ISBLANK(Audit[[#This Row],[Audit Candidate 8]])), Audit[[#This Row],[Audit Candidate 8]]-Audit[[#This Row],[Candidate 8]], "")</f>
        <v/>
      </c>
      <c r="AM21" s="114" t="str">
        <f>IF(NOT(ISBLANK(Audit[[#This Row],[Audit Candidate 9]])), Audit[[#This Row],[Audit Candidate 9]]-Audit[[#This Row],[Candidate 9]], "")</f>
        <v/>
      </c>
      <c r="AN21" s="114" t="str">
        <f>IF(NOT(ISBLANK(Audit[[#This Row],[Audit Candidate 10]])), Audit[[#This Row],[Audit Candidate 10]]-Audit[[#This Row],[Candidate 10]], "")</f>
        <v/>
      </c>
      <c r="AO21" s="114" t="str">
        <f>IF(NOT(ISBLANK(Audit[[#This Row],[Audit Candidate 11]])), Audit[[#This Row],[Audit Candidate 11]]-Audit[[#This Row],[Candidate 11]], "")</f>
        <v/>
      </c>
      <c r="AP21" s="114" t="str">
        <f>IF(NOT(ISBLANK(Audit[[#This Row],[Audit Candidate 12]])), Audit[[#This Row],[Audit Candidate 12]]-Audit[[#This Row],[Candidate 12]], "")</f>
        <v/>
      </c>
      <c r="AQ21" s="114">
        <f>SUMIF(Audit[[#This Row],[Difference Winner]:[Difference Candidate 12]], "&gt;0")</f>
        <v>0</v>
      </c>
      <c r="AR21" s="114">
        <f>SUM(Audit[[#This Row],[Difference Winner]:[Difference Candidate 12]])</f>
        <v>0</v>
      </c>
      <c r="AS21" s="114">
        <f>IF(Audit[[#This Row],[Times p Drawn - With Replacement]]&gt;0, IF(Audit[[#This Row],[Canceled Differences]]&lt;0, Audit[[#This Row],[Max Differences]]+ABS(Audit[[#This Row],[Canceled Differences]]), Audit[[#This Row],[Max Differences]]), 0)</f>
        <v>0</v>
      </c>
      <c r="AT21" s="114">
        <f>'Sampling Data'!AB21</f>
        <v>0.11416490486257928</v>
      </c>
      <c r="AU21" s="114">
        <f>IF(
      SUM(Audit[[#This Row],[Audit Losing Candidate]:[Audit Candidate 12]])
      &lt;&gt;0,
      (Audit[[#This Row],[Winning Candidate]]-Audit[[#This Row],[Losing Candidate]]-(Audit[[#This Row],[Audit Winning Candidate]]-Audit[[#This Row],[Audit Losing Candidate]]))/(Audit[[#Totals],[Winning Candidate]]-Audit[[#Totals],[Losing Candidate]]),
      0
)</f>
        <v>0</v>
      </c>
      <c r="AV2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1" s="114">
        <f>IF(Audit[[#This Row],[Max Relative Error (ep)]] = 0, 0, Audit[[#This Row],[Max Relative Error (ep)]]/Audit[[#This Row],[Error Bound (up) - Max. possible relative overstatement]])</f>
        <v>0</v>
      </c>
      <c r="BH2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21" s="114">
        <f t="shared" si="1"/>
        <v>0.85543407702203689</v>
      </c>
      <c r="BJ21" s="114">
        <f>PRODUCT($BI$5:BI21)</f>
        <v>0.85543407702203689</v>
      </c>
      <c r="BK21" s="112">
        <f>1 - Audit[[#This Row],[K-M P Value]]</f>
        <v>0.14456592297796311</v>
      </c>
      <c r="BL21" s="114" t="str">
        <f>IF(Audit[[#This Row],[K-M P Value]]&gt;1-'General Info'!$B$12,"Continue", "Stop")</f>
        <v>Continue</v>
      </c>
      <c r="BM21" s="113" t="b">
        <f>IF(Audit[[#This Row],[Status - Continue or stop audit]] = "Continue", TRUE, IF(BL20 = "Continue", TRUE, FALSE))</f>
        <v>1</v>
      </c>
      <c r="BN21" s="113"/>
    </row>
    <row r="22" spans="1:66" ht="15" hidden="1" customHeight="1" x14ac:dyDescent="0.35">
      <c r="A22" s="114" t="str">
        <f>'Sampling Data'!AI22</f>
        <v/>
      </c>
      <c r="B22" s="114" t="str">
        <f>'Sampling Data'!A22</f>
        <v>6802 EVEN B   (AV)</v>
      </c>
      <c r="C22" s="114">
        <f>'Sampling Data'!B22</f>
        <v>17</v>
      </c>
      <c r="D22" s="114">
        <f>'Sampling Data'!C22</f>
        <v>17</v>
      </c>
      <c r="E22" s="115">
        <f>'Sampling Data'!D22</f>
        <v>0</v>
      </c>
      <c r="F22" s="115">
        <f>'Sampling Data'!E22</f>
        <v>0</v>
      </c>
      <c r="G22" s="115">
        <f>'Sampling Data'!F22</f>
        <v>0</v>
      </c>
      <c r="H22" s="115">
        <f>'Sampling Data'!G22</f>
        <v>0</v>
      </c>
      <c r="I22" s="115">
        <f>'Sampling Data'!H22</f>
        <v>0</v>
      </c>
      <c r="J22" s="115">
        <f>'Sampling Data'!I22</f>
        <v>0</v>
      </c>
      <c r="K22" s="115">
        <f>'Sampling Data'!J22</f>
        <v>0</v>
      </c>
      <c r="L22" s="115">
        <f>'Sampling Data'!K22</f>
        <v>0</v>
      </c>
      <c r="M22" s="115">
        <f>'Sampling Data'!L22</f>
        <v>0</v>
      </c>
      <c r="N22" s="115">
        <f>'Sampling Data'!M22</f>
        <v>0</v>
      </c>
      <c r="O22" s="114">
        <f>'Sampling Data'!N22</f>
        <v>0</v>
      </c>
      <c r="P22" s="114">
        <f>'Sampling Data'!O22</f>
        <v>0</v>
      </c>
      <c r="Q22" s="114">
        <f>'Sampling Data'!P22</f>
        <v>34</v>
      </c>
      <c r="R22" s="114">
        <f>'Sampling Data'!AJ22</f>
        <v>0</v>
      </c>
      <c r="S22" s="116"/>
      <c r="T22" s="116"/>
      <c r="U22" s="117"/>
      <c r="V22" s="117"/>
      <c r="W22" s="116"/>
      <c r="X22" s="116"/>
      <c r="Y22" s="116"/>
      <c r="Z22" s="116"/>
      <c r="AA22" s="15"/>
      <c r="AB22" s="15"/>
      <c r="AC22" s="15"/>
      <c r="AD22" s="15"/>
      <c r="AE22" s="118" t="str">
        <f>IF(NOT(ISBLANK(Audit[[#This Row],[Audit Winning Candidate]])), Audit[[#This Row],[Audit Winning Candidate]]-Audit[[#This Row],[Winning Candidate]], "")</f>
        <v/>
      </c>
      <c r="AF22" s="114" t="str">
        <f>IF(NOT(ISBLANK(Audit[[#This Row],[Audit Losing Candidate]])), Audit[[#This Row],[Audit Losing Candidate]]-Audit[[#This Row],[Losing Candidate]], "")</f>
        <v/>
      </c>
      <c r="AG22" s="114" t="str">
        <f>IF(NOT(ISBLANK(Audit[[#This Row],[Audit Candidate 3]])), Audit[[#This Row],[Audit Candidate 3]]-Audit[[#This Row],[Candidate 3]], "")</f>
        <v/>
      </c>
      <c r="AH22" s="114" t="str">
        <f>IF(NOT(ISBLANK(Audit[[#This Row],[Audit Candidate 4]])),Audit[[#This Row],[Audit Candidate 4]]-Audit[[#This Row],[Candidate 4]], "")</f>
        <v/>
      </c>
      <c r="AI22" s="114" t="str">
        <f>IF(NOT(ISBLANK(Audit[[#This Row],[Audit Candidate 5]])), Audit[[#This Row],[Audit Candidate 5]]-Audit[[#This Row],[Candidate 5]], "")</f>
        <v/>
      </c>
      <c r="AJ22" s="114" t="str">
        <f>IF(NOT(ISBLANK(Audit[[#This Row],[Audit Candidate 6]])), Audit[[#This Row],[Audit Candidate 6]]-Audit[[#This Row],[Candidate 6]], "")</f>
        <v/>
      </c>
      <c r="AK22" s="114" t="str">
        <f>IF(NOT(ISBLANK(Audit[[#This Row],[Audit Candidate 7]])), Audit[[#This Row],[Audit Candidate 7]]-Audit[[#This Row],[Candidate 7]], "")</f>
        <v/>
      </c>
      <c r="AL22" s="114" t="str">
        <f>IF(NOT(ISBLANK(Audit[[#This Row],[Audit Candidate 8]])), Audit[[#This Row],[Audit Candidate 8]]-Audit[[#This Row],[Candidate 8]], "")</f>
        <v/>
      </c>
      <c r="AM22" s="114" t="str">
        <f>IF(NOT(ISBLANK(Audit[[#This Row],[Audit Candidate 9]])), Audit[[#This Row],[Audit Candidate 9]]-Audit[[#This Row],[Candidate 9]], "")</f>
        <v/>
      </c>
      <c r="AN22" s="114" t="str">
        <f>IF(NOT(ISBLANK(Audit[[#This Row],[Audit Candidate 10]])), Audit[[#This Row],[Audit Candidate 10]]-Audit[[#This Row],[Candidate 10]], "")</f>
        <v/>
      </c>
      <c r="AO22" s="114" t="str">
        <f>IF(NOT(ISBLANK(Audit[[#This Row],[Audit Candidate 11]])), Audit[[#This Row],[Audit Candidate 11]]-Audit[[#This Row],[Candidate 11]], "")</f>
        <v/>
      </c>
      <c r="AP22" s="114" t="str">
        <f>IF(NOT(ISBLANK(Audit[[#This Row],[Audit Candidate 12]])), Audit[[#This Row],[Audit Candidate 12]]-Audit[[#This Row],[Candidate 12]], "")</f>
        <v/>
      </c>
      <c r="AQ22" s="114">
        <f>SUMIF(Audit[[#This Row],[Difference Winner]:[Difference Candidate 12]], "&gt;0")</f>
        <v>0</v>
      </c>
      <c r="AR22" s="114">
        <f>SUM(Audit[[#This Row],[Difference Winner]:[Difference Candidate 12]])</f>
        <v>0</v>
      </c>
      <c r="AS22" s="114">
        <f>IF(Audit[[#This Row],[Times p Drawn - With Replacement]]&gt;0, IF(Audit[[#This Row],[Canceled Differences]]&lt;0, Audit[[#This Row],[Max Differences]]+ABS(Audit[[#This Row],[Canceled Differences]]), Audit[[#This Row],[Max Differences]]), 0)</f>
        <v>0</v>
      </c>
      <c r="AT22" s="114">
        <f>'Sampling Data'!AB22</f>
        <v>7.1881606765327691E-2</v>
      </c>
      <c r="AU22" s="114">
        <f>IF(
      SUM(Audit[[#This Row],[Audit Losing Candidate]:[Audit Candidate 12]])
      &lt;&gt;0,
      (Audit[[#This Row],[Winning Candidate]]-Audit[[#This Row],[Losing Candidate]]-(Audit[[#This Row],[Audit Winning Candidate]]-Audit[[#This Row],[Audit Losing Candidate]]))/(Audit[[#Totals],[Winning Candidate]]-Audit[[#Totals],[Losing Candidate]]),
      0
)</f>
        <v>0</v>
      </c>
      <c r="AV2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2" s="114">
        <f>IF(Audit[[#This Row],[Max Relative Error (ep)]] = 0, 0, Audit[[#This Row],[Max Relative Error (ep)]]/Audit[[#This Row],[Error Bound (up) - Max. possible relative overstatement]])</f>
        <v>0</v>
      </c>
      <c r="BH2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22" s="114">
        <f t="shared" si="1"/>
        <v>1</v>
      </c>
      <c r="BJ22" s="114">
        <f>PRODUCT($BI$5:BI22)</f>
        <v>0.85543407702203689</v>
      </c>
      <c r="BK22" s="112">
        <f>1 - Audit[[#This Row],[K-M P Value]]</f>
        <v>0.14456592297796311</v>
      </c>
      <c r="BL22" s="114" t="str">
        <f>IF(Audit[[#This Row],[K-M P Value]]&gt;1-'General Info'!$B$12,"Continue", "Stop")</f>
        <v>Continue</v>
      </c>
      <c r="BM22" s="113" t="b">
        <f>IF(Audit[[#This Row],[Status - Continue or stop audit]] = "Continue", TRUE, IF(BL21 = "Continue", TRUE, FALSE))</f>
        <v>1</v>
      </c>
      <c r="BN22" s="113"/>
    </row>
    <row r="23" spans="1:66" ht="15" customHeight="1" x14ac:dyDescent="0.35">
      <c r="A23" s="114">
        <f>'Sampling Data'!AI23</f>
        <v>29</v>
      </c>
      <c r="B23" s="114" t="str">
        <f>'Sampling Data'!A23</f>
        <v>7001 GLEN A   (AV)</v>
      </c>
      <c r="C23" s="114">
        <f>'Sampling Data'!B23</f>
        <v>19</v>
      </c>
      <c r="D23" s="114">
        <f>'Sampling Data'!C23</f>
        <v>9</v>
      </c>
      <c r="E23" s="115">
        <f>'Sampling Data'!D23</f>
        <v>0</v>
      </c>
      <c r="F23" s="115">
        <f>'Sampling Data'!E23</f>
        <v>0</v>
      </c>
      <c r="G23" s="115">
        <f>'Sampling Data'!F23</f>
        <v>0</v>
      </c>
      <c r="H23" s="115">
        <f>'Sampling Data'!G23</f>
        <v>0</v>
      </c>
      <c r="I23" s="115">
        <f>'Sampling Data'!H23</f>
        <v>0</v>
      </c>
      <c r="J23" s="115">
        <f>'Sampling Data'!I23</f>
        <v>0</v>
      </c>
      <c r="K23" s="115">
        <f>'Sampling Data'!J23</f>
        <v>0</v>
      </c>
      <c r="L23" s="115">
        <f>'Sampling Data'!K23</f>
        <v>0</v>
      </c>
      <c r="M23" s="115">
        <f>'Sampling Data'!L23</f>
        <v>0</v>
      </c>
      <c r="N23" s="115">
        <f>'Sampling Data'!M23</f>
        <v>0</v>
      </c>
      <c r="O23" s="114">
        <f>'Sampling Data'!N23</f>
        <v>0</v>
      </c>
      <c r="P23" s="114">
        <f>'Sampling Data'!O23</f>
        <v>0</v>
      </c>
      <c r="Q23" s="114">
        <f>'Sampling Data'!P23</f>
        <v>28</v>
      </c>
      <c r="R23" s="114">
        <f>'Sampling Data'!AJ23</f>
        <v>1</v>
      </c>
      <c r="S23" s="116">
        <v>19</v>
      </c>
      <c r="T23" s="116">
        <v>9</v>
      </c>
      <c r="U23" s="117"/>
      <c r="V23" s="117"/>
      <c r="W23" s="116"/>
      <c r="X23" s="116"/>
      <c r="Y23" s="116"/>
      <c r="Z23" s="116"/>
      <c r="AA23" s="15"/>
      <c r="AB23" s="15"/>
      <c r="AC23" s="15"/>
      <c r="AD23" s="15"/>
      <c r="AE23" s="118">
        <f>IF(NOT(ISBLANK(Audit[[#This Row],[Audit Winning Candidate]])), Audit[[#This Row],[Audit Winning Candidate]]-Audit[[#This Row],[Winning Candidate]], "")</f>
        <v>0</v>
      </c>
      <c r="AF23" s="114">
        <f>IF(NOT(ISBLANK(Audit[[#This Row],[Audit Losing Candidate]])), Audit[[#This Row],[Audit Losing Candidate]]-Audit[[#This Row],[Losing Candidate]], "")</f>
        <v>0</v>
      </c>
      <c r="AG23" s="114" t="str">
        <f>IF(NOT(ISBLANK(Audit[[#This Row],[Audit Candidate 3]])), Audit[[#This Row],[Audit Candidate 3]]-Audit[[#This Row],[Candidate 3]], "")</f>
        <v/>
      </c>
      <c r="AH23" s="114" t="str">
        <f>IF(NOT(ISBLANK(Audit[[#This Row],[Audit Candidate 4]])),Audit[[#This Row],[Audit Candidate 4]]-Audit[[#This Row],[Candidate 4]], "")</f>
        <v/>
      </c>
      <c r="AI23" s="114" t="str">
        <f>IF(NOT(ISBLANK(Audit[[#This Row],[Audit Candidate 5]])), Audit[[#This Row],[Audit Candidate 5]]-Audit[[#This Row],[Candidate 5]], "")</f>
        <v/>
      </c>
      <c r="AJ23" s="114" t="str">
        <f>IF(NOT(ISBLANK(Audit[[#This Row],[Audit Candidate 6]])), Audit[[#This Row],[Audit Candidate 6]]-Audit[[#This Row],[Candidate 6]], "")</f>
        <v/>
      </c>
      <c r="AK23" s="114" t="str">
        <f>IF(NOT(ISBLANK(Audit[[#This Row],[Audit Candidate 7]])), Audit[[#This Row],[Audit Candidate 7]]-Audit[[#This Row],[Candidate 7]], "")</f>
        <v/>
      </c>
      <c r="AL23" s="114" t="str">
        <f>IF(NOT(ISBLANK(Audit[[#This Row],[Audit Candidate 8]])), Audit[[#This Row],[Audit Candidate 8]]-Audit[[#This Row],[Candidate 8]], "")</f>
        <v/>
      </c>
      <c r="AM23" s="114" t="str">
        <f>IF(NOT(ISBLANK(Audit[[#This Row],[Audit Candidate 9]])), Audit[[#This Row],[Audit Candidate 9]]-Audit[[#This Row],[Candidate 9]], "")</f>
        <v/>
      </c>
      <c r="AN23" s="114" t="str">
        <f>IF(NOT(ISBLANK(Audit[[#This Row],[Audit Candidate 10]])), Audit[[#This Row],[Audit Candidate 10]]-Audit[[#This Row],[Candidate 10]], "")</f>
        <v/>
      </c>
      <c r="AO23" s="114" t="str">
        <f>IF(NOT(ISBLANK(Audit[[#This Row],[Audit Candidate 11]])), Audit[[#This Row],[Audit Candidate 11]]-Audit[[#This Row],[Candidate 11]], "")</f>
        <v/>
      </c>
      <c r="AP23" s="114" t="str">
        <f>IF(NOT(ISBLANK(Audit[[#This Row],[Audit Candidate 12]])), Audit[[#This Row],[Audit Candidate 12]]-Audit[[#This Row],[Candidate 12]], "")</f>
        <v/>
      </c>
      <c r="AQ23" s="114">
        <f>SUMIF(Audit[[#This Row],[Difference Winner]:[Difference Candidate 12]], "&gt;0")</f>
        <v>0</v>
      </c>
      <c r="AR23" s="114">
        <f>SUM(Audit[[#This Row],[Difference Winner]:[Difference Candidate 12]])</f>
        <v>0</v>
      </c>
      <c r="AS23" s="114">
        <f>IF(Audit[[#This Row],[Times p Drawn - With Replacement]]&gt;0, IF(Audit[[#This Row],[Canceled Differences]]&lt;0, Audit[[#This Row],[Max Differences]]+ABS(Audit[[#This Row],[Canceled Differences]]), Audit[[#This Row],[Max Differences]]), 0)</f>
        <v>0</v>
      </c>
      <c r="AT23" s="114">
        <f>'Sampling Data'!AB23</f>
        <v>8.0338266384778007E-2</v>
      </c>
      <c r="AU23" s="114">
        <f>IF(
      SUM(Audit[[#This Row],[Audit Losing Candidate]:[Audit Candidate 12]])
      &lt;&gt;0,
      (Audit[[#This Row],[Winning Candidate]]-Audit[[#This Row],[Losing Candidate]]-(Audit[[#This Row],[Audit Winning Candidate]]-Audit[[#This Row],[Audit Losing Candidate]]))/(Audit[[#Totals],[Winning Candidate]]-Audit[[#Totals],[Losing Candidate]]),
      0
)</f>
        <v>0</v>
      </c>
      <c r="AV2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3" s="114">
        <f>IF(Audit[[#This Row],[Max Relative Error (ep)]] = 0, 0, Audit[[#This Row],[Max Relative Error (ep)]]/Audit[[#This Row],[Error Bound (up) - Max. possible relative overstatement]])</f>
        <v>0</v>
      </c>
      <c r="BH2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23" s="114">
        <f t="shared" si="1"/>
        <v>0.92489679263258173</v>
      </c>
      <c r="BJ23" s="114">
        <f>PRODUCT($BI$5:BI23)</f>
        <v>0.7911882341462948</v>
      </c>
      <c r="BK23" s="112">
        <f>1 - Audit[[#This Row],[K-M P Value]]</f>
        <v>0.2088117658537052</v>
      </c>
      <c r="BL23" s="114" t="str">
        <f>IF(Audit[[#This Row],[K-M P Value]]&gt;1-'General Info'!$B$12,"Continue", "Stop")</f>
        <v>Continue</v>
      </c>
      <c r="BM23" s="113" t="b">
        <f>IF(Audit[[#This Row],[Status - Continue or stop audit]] = "Continue", TRUE, IF(BL22 = "Continue", TRUE, FALSE))</f>
        <v>1</v>
      </c>
      <c r="BN23" s="113"/>
    </row>
    <row r="24" spans="1:66" ht="15" hidden="1" customHeight="1" x14ac:dyDescent="0.35">
      <c r="A24" s="114" t="str">
        <f>'Sampling Data'!AI24</f>
        <v/>
      </c>
      <c r="B24" s="114" t="str">
        <f>'Sampling Data'!A24</f>
        <v>7002 GLEN B   (AV)</v>
      </c>
      <c r="C24" s="114">
        <f>'Sampling Data'!B24</f>
        <v>14</v>
      </c>
      <c r="D24" s="114">
        <f>'Sampling Data'!C24</f>
        <v>7</v>
      </c>
      <c r="E24" s="115">
        <f>'Sampling Data'!D24</f>
        <v>0</v>
      </c>
      <c r="F24" s="115">
        <f>'Sampling Data'!E24</f>
        <v>0</v>
      </c>
      <c r="G24" s="115">
        <f>'Sampling Data'!F24</f>
        <v>0</v>
      </c>
      <c r="H24" s="115">
        <f>'Sampling Data'!G24</f>
        <v>0</v>
      </c>
      <c r="I24" s="115">
        <f>'Sampling Data'!H24</f>
        <v>0</v>
      </c>
      <c r="J24" s="115">
        <f>'Sampling Data'!I24</f>
        <v>0</v>
      </c>
      <c r="K24" s="115">
        <f>'Sampling Data'!J24</f>
        <v>0</v>
      </c>
      <c r="L24" s="115">
        <f>'Sampling Data'!K24</f>
        <v>0</v>
      </c>
      <c r="M24" s="115">
        <f>'Sampling Data'!L24</f>
        <v>0</v>
      </c>
      <c r="N24" s="115">
        <f>'Sampling Data'!M24</f>
        <v>0</v>
      </c>
      <c r="O24" s="114">
        <f>'Sampling Data'!N24</f>
        <v>0</v>
      </c>
      <c r="P24" s="114">
        <f>'Sampling Data'!O24</f>
        <v>0</v>
      </c>
      <c r="Q24" s="114">
        <f>'Sampling Data'!P24</f>
        <v>21</v>
      </c>
      <c r="R24" s="114">
        <f>'Sampling Data'!AJ24</f>
        <v>0</v>
      </c>
      <c r="S24" s="116"/>
      <c r="T24" s="116"/>
      <c r="U24" s="117"/>
      <c r="V24" s="117"/>
      <c r="W24" s="116"/>
      <c r="X24" s="116"/>
      <c r="Y24" s="116"/>
      <c r="Z24" s="116"/>
      <c r="AA24" s="15"/>
      <c r="AB24" s="15"/>
      <c r="AC24" s="15"/>
      <c r="AD24" s="15"/>
      <c r="AE24" s="118" t="str">
        <f>IF(NOT(ISBLANK(Audit[[#This Row],[Audit Winning Candidate]])), Audit[[#This Row],[Audit Winning Candidate]]-Audit[[#This Row],[Winning Candidate]], "")</f>
        <v/>
      </c>
      <c r="AF24" s="114" t="str">
        <f>IF(NOT(ISBLANK(Audit[[#This Row],[Audit Losing Candidate]])), Audit[[#This Row],[Audit Losing Candidate]]-Audit[[#This Row],[Losing Candidate]], "")</f>
        <v/>
      </c>
      <c r="AG24" s="114" t="str">
        <f>IF(NOT(ISBLANK(Audit[[#This Row],[Audit Candidate 3]])), Audit[[#This Row],[Audit Candidate 3]]-Audit[[#This Row],[Candidate 3]], "")</f>
        <v/>
      </c>
      <c r="AH24" s="114" t="str">
        <f>IF(NOT(ISBLANK(Audit[[#This Row],[Audit Candidate 4]])),Audit[[#This Row],[Audit Candidate 4]]-Audit[[#This Row],[Candidate 4]], "")</f>
        <v/>
      </c>
      <c r="AI24" s="114" t="str">
        <f>IF(NOT(ISBLANK(Audit[[#This Row],[Audit Candidate 5]])), Audit[[#This Row],[Audit Candidate 5]]-Audit[[#This Row],[Candidate 5]], "")</f>
        <v/>
      </c>
      <c r="AJ24" s="114" t="str">
        <f>IF(NOT(ISBLANK(Audit[[#This Row],[Audit Candidate 6]])), Audit[[#This Row],[Audit Candidate 6]]-Audit[[#This Row],[Candidate 6]], "")</f>
        <v/>
      </c>
      <c r="AK24" s="114" t="str">
        <f>IF(NOT(ISBLANK(Audit[[#This Row],[Audit Candidate 7]])), Audit[[#This Row],[Audit Candidate 7]]-Audit[[#This Row],[Candidate 7]], "")</f>
        <v/>
      </c>
      <c r="AL24" s="114" t="str">
        <f>IF(NOT(ISBLANK(Audit[[#This Row],[Audit Candidate 8]])), Audit[[#This Row],[Audit Candidate 8]]-Audit[[#This Row],[Candidate 8]], "")</f>
        <v/>
      </c>
      <c r="AM24" s="114" t="str">
        <f>IF(NOT(ISBLANK(Audit[[#This Row],[Audit Candidate 9]])), Audit[[#This Row],[Audit Candidate 9]]-Audit[[#This Row],[Candidate 9]], "")</f>
        <v/>
      </c>
      <c r="AN24" s="114" t="str">
        <f>IF(NOT(ISBLANK(Audit[[#This Row],[Audit Candidate 10]])), Audit[[#This Row],[Audit Candidate 10]]-Audit[[#This Row],[Candidate 10]], "")</f>
        <v/>
      </c>
      <c r="AO24" s="114" t="str">
        <f>IF(NOT(ISBLANK(Audit[[#This Row],[Audit Candidate 11]])), Audit[[#This Row],[Audit Candidate 11]]-Audit[[#This Row],[Candidate 11]], "")</f>
        <v/>
      </c>
      <c r="AP24" s="114" t="str">
        <f>IF(NOT(ISBLANK(Audit[[#This Row],[Audit Candidate 12]])), Audit[[#This Row],[Audit Candidate 12]]-Audit[[#This Row],[Candidate 12]], "")</f>
        <v/>
      </c>
      <c r="AQ24" s="114">
        <f>SUMIF(Audit[[#This Row],[Difference Winner]:[Difference Candidate 12]], "&gt;0")</f>
        <v>0</v>
      </c>
      <c r="AR24" s="114">
        <f>SUM(Audit[[#This Row],[Difference Winner]:[Difference Candidate 12]])</f>
        <v>0</v>
      </c>
      <c r="AS24" s="114">
        <f>IF(Audit[[#This Row],[Times p Drawn - With Replacement]]&gt;0, IF(Audit[[#This Row],[Canceled Differences]]&lt;0, Audit[[#This Row],[Max Differences]]+ABS(Audit[[#This Row],[Canceled Differences]]), Audit[[#This Row],[Max Differences]]), 0)</f>
        <v>0</v>
      </c>
      <c r="AT24" s="114">
        <f>'Sampling Data'!AB24</f>
        <v>5.9196617336152217E-2</v>
      </c>
      <c r="AU24" s="114">
        <f>IF(
      SUM(Audit[[#This Row],[Audit Losing Candidate]:[Audit Candidate 12]])
      &lt;&gt;0,
      (Audit[[#This Row],[Winning Candidate]]-Audit[[#This Row],[Losing Candidate]]-(Audit[[#This Row],[Audit Winning Candidate]]-Audit[[#This Row],[Audit Losing Candidate]]))/(Audit[[#Totals],[Winning Candidate]]-Audit[[#Totals],[Losing Candidate]]),
      0
)</f>
        <v>0</v>
      </c>
      <c r="AV2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4" s="114">
        <f>IF(Audit[[#This Row],[Max Relative Error (ep)]] = 0, 0, Audit[[#This Row],[Max Relative Error (ep)]]/Audit[[#This Row],[Error Bound (up) - Max. possible relative overstatement]])</f>
        <v>0</v>
      </c>
      <c r="BH2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24" s="114">
        <f t="shared" si="1"/>
        <v>1</v>
      </c>
      <c r="BJ24" s="114">
        <f>PRODUCT($BI$5:BI24)</f>
        <v>0.7911882341462948</v>
      </c>
      <c r="BK24" s="112">
        <f>1 - Audit[[#This Row],[K-M P Value]]</f>
        <v>0.2088117658537052</v>
      </c>
      <c r="BL24" s="114" t="str">
        <f>IF(Audit[[#This Row],[K-M P Value]]&gt;1-'General Info'!$B$12,"Continue", "Stop")</f>
        <v>Continue</v>
      </c>
      <c r="BM24" s="113" t="b">
        <f>IF(Audit[[#This Row],[Status - Continue or stop audit]] = "Continue", TRUE, IF(BL23 = "Continue", TRUE, FALSE))</f>
        <v>1</v>
      </c>
      <c r="BN24" s="113"/>
    </row>
    <row r="25" spans="1:66" ht="15" hidden="1" customHeight="1" x14ac:dyDescent="0.35">
      <c r="A25" s="114" t="str">
        <f>'Sampling Data'!AI25</f>
        <v/>
      </c>
      <c r="B25" s="114" t="str">
        <f>'Sampling Data'!A25</f>
        <v>7701 LIN HT A   (AV)</v>
      </c>
      <c r="C25" s="114">
        <f>'Sampling Data'!B25</f>
        <v>7</v>
      </c>
      <c r="D25" s="114">
        <f>'Sampling Data'!C25</f>
        <v>3</v>
      </c>
      <c r="E25" s="115">
        <f>'Sampling Data'!D25</f>
        <v>0</v>
      </c>
      <c r="F25" s="115">
        <f>'Sampling Data'!E25</f>
        <v>0</v>
      </c>
      <c r="G25" s="115">
        <f>'Sampling Data'!F25</f>
        <v>0</v>
      </c>
      <c r="H25" s="115">
        <f>'Sampling Data'!G25</f>
        <v>0</v>
      </c>
      <c r="I25" s="115">
        <f>'Sampling Data'!H25</f>
        <v>0</v>
      </c>
      <c r="J25" s="115">
        <f>'Sampling Data'!I25</f>
        <v>0</v>
      </c>
      <c r="K25" s="115">
        <f>'Sampling Data'!J25</f>
        <v>0</v>
      </c>
      <c r="L25" s="115">
        <f>'Sampling Data'!K25</f>
        <v>0</v>
      </c>
      <c r="M25" s="115">
        <f>'Sampling Data'!L25</f>
        <v>0</v>
      </c>
      <c r="N25" s="115">
        <f>'Sampling Data'!M25</f>
        <v>0</v>
      </c>
      <c r="O25" s="114">
        <f>'Sampling Data'!N25</f>
        <v>0</v>
      </c>
      <c r="P25" s="114">
        <f>'Sampling Data'!O25</f>
        <v>0</v>
      </c>
      <c r="Q25" s="114">
        <f>'Sampling Data'!P25</f>
        <v>10</v>
      </c>
      <c r="R25" s="114">
        <f>'Sampling Data'!AJ25</f>
        <v>0</v>
      </c>
      <c r="S25" s="116"/>
      <c r="T25" s="116"/>
      <c r="U25" s="117"/>
      <c r="V25" s="117"/>
      <c r="W25" s="116"/>
      <c r="X25" s="116"/>
      <c r="Y25" s="116"/>
      <c r="Z25" s="116"/>
      <c r="AA25" s="15"/>
      <c r="AB25" s="15"/>
      <c r="AC25" s="15"/>
      <c r="AD25" s="15"/>
      <c r="AE25" s="118" t="str">
        <f>IF(NOT(ISBLANK(Audit[[#This Row],[Audit Winning Candidate]])), Audit[[#This Row],[Audit Winning Candidate]]-Audit[[#This Row],[Winning Candidate]], "")</f>
        <v/>
      </c>
      <c r="AF25" s="114" t="str">
        <f>IF(NOT(ISBLANK(Audit[[#This Row],[Audit Losing Candidate]])), Audit[[#This Row],[Audit Losing Candidate]]-Audit[[#This Row],[Losing Candidate]], "")</f>
        <v/>
      </c>
      <c r="AG25" s="114" t="str">
        <f>IF(NOT(ISBLANK(Audit[[#This Row],[Audit Candidate 3]])), Audit[[#This Row],[Audit Candidate 3]]-Audit[[#This Row],[Candidate 3]], "")</f>
        <v/>
      </c>
      <c r="AH25" s="114" t="str">
        <f>IF(NOT(ISBLANK(Audit[[#This Row],[Audit Candidate 4]])),Audit[[#This Row],[Audit Candidate 4]]-Audit[[#This Row],[Candidate 4]], "")</f>
        <v/>
      </c>
      <c r="AI25" s="114" t="str">
        <f>IF(NOT(ISBLANK(Audit[[#This Row],[Audit Candidate 5]])), Audit[[#This Row],[Audit Candidate 5]]-Audit[[#This Row],[Candidate 5]], "")</f>
        <v/>
      </c>
      <c r="AJ25" s="114" t="str">
        <f>IF(NOT(ISBLANK(Audit[[#This Row],[Audit Candidate 6]])), Audit[[#This Row],[Audit Candidate 6]]-Audit[[#This Row],[Candidate 6]], "")</f>
        <v/>
      </c>
      <c r="AK25" s="114" t="str">
        <f>IF(NOT(ISBLANK(Audit[[#This Row],[Audit Candidate 7]])), Audit[[#This Row],[Audit Candidate 7]]-Audit[[#This Row],[Candidate 7]], "")</f>
        <v/>
      </c>
      <c r="AL25" s="114" t="str">
        <f>IF(NOT(ISBLANK(Audit[[#This Row],[Audit Candidate 8]])), Audit[[#This Row],[Audit Candidate 8]]-Audit[[#This Row],[Candidate 8]], "")</f>
        <v/>
      </c>
      <c r="AM25" s="114" t="str">
        <f>IF(NOT(ISBLANK(Audit[[#This Row],[Audit Candidate 9]])), Audit[[#This Row],[Audit Candidate 9]]-Audit[[#This Row],[Candidate 9]], "")</f>
        <v/>
      </c>
      <c r="AN25" s="114" t="str">
        <f>IF(NOT(ISBLANK(Audit[[#This Row],[Audit Candidate 10]])), Audit[[#This Row],[Audit Candidate 10]]-Audit[[#This Row],[Candidate 10]], "")</f>
        <v/>
      </c>
      <c r="AO25" s="114" t="str">
        <f>IF(NOT(ISBLANK(Audit[[#This Row],[Audit Candidate 11]])), Audit[[#This Row],[Audit Candidate 11]]-Audit[[#This Row],[Candidate 11]], "")</f>
        <v/>
      </c>
      <c r="AP25" s="114" t="str">
        <f>IF(NOT(ISBLANK(Audit[[#This Row],[Audit Candidate 12]])), Audit[[#This Row],[Audit Candidate 12]]-Audit[[#This Row],[Candidate 12]], "")</f>
        <v/>
      </c>
      <c r="AQ25" s="114">
        <f>SUMIF(Audit[[#This Row],[Difference Winner]:[Difference Candidate 12]], "&gt;0")</f>
        <v>0</v>
      </c>
      <c r="AR25" s="114">
        <f>SUM(Audit[[#This Row],[Difference Winner]:[Difference Candidate 12]])</f>
        <v>0</v>
      </c>
      <c r="AS25" s="114">
        <f>IF(Audit[[#This Row],[Times p Drawn - With Replacement]]&gt;0, IF(Audit[[#This Row],[Canceled Differences]]&lt;0, Audit[[#This Row],[Max Differences]]+ABS(Audit[[#This Row],[Canceled Differences]]), Audit[[#This Row],[Max Differences]]), 0)</f>
        <v>0</v>
      </c>
      <c r="AT25" s="114">
        <f>'Sampling Data'!AB25</f>
        <v>2.9598308668076109E-2</v>
      </c>
      <c r="AU25" s="114">
        <f>IF(
      SUM(Audit[[#This Row],[Audit Losing Candidate]:[Audit Candidate 12]])
      &lt;&gt;0,
      (Audit[[#This Row],[Winning Candidate]]-Audit[[#This Row],[Losing Candidate]]-(Audit[[#This Row],[Audit Winning Candidate]]-Audit[[#This Row],[Audit Losing Candidate]]))/(Audit[[#Totals],[Winning Candidate]]-Audit[[#Totals],[Losing Candidate]]),
      0
)</f>
        <v>0</v>
      </c>
      <c r="AV2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5" s="114">
        <f>IF(Audit[[#This Row],[Max Relative Error (ep)]] = 0, 0, Audit[[#This Row],[Max Relative Error (ep)]]/Audit[[#This Row],[Error Bound (up) - Max. possible relative overstatement]])</f>
        <v>0</v>
      </c>
      <c r="BH2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25" s="114">
        <f t="shared" si="1"/>
        <v>1</v>
      </c>
      <c r="BJ25" s="114">
        <f>PRODUCT($BI$5:BI25)</f>
        <v>0.7911882341462948</v>
      </c>
      <c r="BK25" s="112">
        <f>1 - Audit[[#This Row],[K-M P Value]]</f>
        <v>0.2088117658537052</v>
      </c>
      <c r="BL25" s="114" t="str">
        <f>IF(Audit[[#This Row],[K-M P Value]]&gt;1-'General Info'!$B$12,"Continue", "Stop")</f>
        <v>Continue</v>
      </c>
      <c r="BM25" s="113" t="b">
        <f>IF(Audit[[#This Row],[Status - Continue or stop audit]] = "Continue", TRUE, IF(BL24 = "Continue", TRUE, FALSE))</f>
        <v>1</v>
      </c>
      <c r="BN25" s="113"/>
    </row>
    <row r="26" spans="1:66" ht="15" hidden="1" customHeight="1" x14ac:dyDescent="0.35">
      <c r="A26" s="114" t="str">
        <f>'Sampling Data'!AI26</f>
        <v/>
      </c>
      <c r="B26" s="114" t="str">
        <f>'Sampling Data'!A26</f>
        <v>7702 LIN HT B   (AV)</v>
      </c>
      <c r="C26" s="114">
        <f>'Sampling Data'!B26</f>
        <v>6</v>
      </c>
      <c r="D26" s="114">
        <f>'Sampling Data'!C26</f>
        <v>1</v>
      </c>
      <c r="E26" s="115">
        <f>'Sampling Data'!D26</f>
        <v>0</v>
      </c>
      <c r="F26" s="115">
        <f>'Sampling Data'!E26</f>
        <v>0</v>
      </c>
      <c r="G26" s="115">
        <f>'Sampling Data'!F26</f>
        <v>0</v>
      </c>
      <c r="H26" s="115">
        <f>'Sampling Data'!G26</f>
        <v>0</v>
      </c>
      <c r="I26" s="115">
        <f>'Sampling Data'!H26</f>
        <v>0</v>
      </c>
      <c r="J26" s="115">
        <f>'Sampling Data'!I26</f>
        <v>0</v>
      </c>
      <c r="K26" s="115">
        <f>'Sampling Data'!J26</f>
        <v>0</v>
      </c>
      <c r="L26" s="115">
        <f>'Sampling Data'!K26</f>
        <v>0</v>
      </c>
      <c r="M26" s="115">
        <f>'Sampling Data'!L26</f>
        <v>0</v>
      </c>
      <c r="N26" s="115">
        <f>'Sampling Data'!M26</f>
        <v>0</v>
      </c>
      <c r="O26" s="114">
        <f>'Sampling Data'!N26</f>
        <v>0</v>
      </c>
      <c r="P26" s="114">
        <f>'Sampling Data'!O26</f>
        <v>0</v>
      </c>
      <c r="Q26" s="114">
        <f>'Sampling Data'!P26</f>
        <v>7</v>
      </c>
      <c r="R26" s="114">
        <f>'Sampling Data'!AJ26</f>
        <v>0</v>
      </c>
      <c r="S26" s="116"/>
      <c r="T26" s="116"/>
      <c r="U26" s="117"/>
      <c r="V26" s="117"/>
      <c r="W26" s="116"/>
      <c r="X26" s="116"/>
      <c r="Y26" s="116"/>
      <c r="Z26" s="116"/>
      <c r="AA26" s="15"/>
      <c r="AB26" s="15"/>
      <c r="AC26" s="15"/>
      <c r="AD26" s="15"/>
      <c r="AE26" s="118" t="str">
        <f>IF(NOT(ISBLANK(Audit[[#This Row],[Audit Winning Candidate]])), Audit[[#This Row],[Audit Winning Candidate]]-Audit[[#This Row],[Winning Candidate]], "")</f>
        <v/>
      </c>
      <c r="AF26" s="114" t="str">
        <f>IF(NOT(ISBLANK(Audit[[#This Row],[Audit Losing Candidate]])), Audit[[#This Row],[Audit Losing Candidate]]-Audit[[#This Row],[Losing Candidate]], "")</f>
        <v/>
      </c>
      <c r="AG26" s="114" t="str">
        <f>IF(NOT(ISBLANK(Audit[[#This Row],[Audit Candidate 3]])), Audit[[#This Row],[Audit Candidate 3]]-Audit[[#This Row],[Candidate 3]], "")</f>
        <v/>
      </c>
      <c r="AH26" s="114" t="str">
        <f>IF(NOT(ISBLANK(Audit[[#This Row],[Audit Candidate 4]])),Audit[[#This Row],[Audit Candidate 4]]-Audit[[#This Row],[Candidate 4]], "")</f>
        <v/>
      </c>
      <c r="AI26" s="114" t="str">
        <f>IF(NOT(ISBLANK(Audit[[#This Row],[Audit Candidate 5]])), Audit[[#This Row],[Audit Candidate 5]]-Audit[[#This Row],[Candidate 5]], "")</f>
        <v/>
      </c>
      <c r="AJ26" s="114" t="str">
        <f>IF(NOT(ISBLANK(Audit[[#This Row],[Audit Candidate 6]])), Audit[[#This Row],[Audit Candidate 6]]-Audit[[#This Row],[Candidate 6]], "")</f>
        <v/>
      </c>
      <c r="AK26" s="114" t="str">
        <f>IF(NOT(ISBLANK(Audit[[#This Row],[Audit Candidate 7]])), Audit[[#This Row],[Audit Candidate 7]]-Audit[[#This Row],[Candidate 7]], "")</f>
        <v/>
      </c>
      <c r="AL26" s="114" t="str">
        <f>IF(NOT(ISBLANK(Audit[[#This Row],[Audit Candidate 8]])), Audit[[#This Row],[Audit Candidate 8]]-Audit[[#This Row],[Candidate 8]], "")</f>
        <v/>
      </c>
      <c r="AM26" s="114" t="str">
        <f>IF(NOT(ISBLANK(Audit[[#This Row],[Audit Candidate 9]])), Audit[[#This Row],[Audit Candidate 9]]-Audit[[#This Row],[Candidate 9]], "")</f>
        <v/>
      </c>
      <c r="AN26" s="114" t="str">
        <f>IF(NOT(ISBLANK(Audit[[#This Row],[Audit Candidate 10]])), Audit[[#This Row],[Audit Candidate 10]]-Audit[[#This Row],[Candidate 10]], "")</f>
        <v/>
      </c>
      <c r="AO26" s="114" t="str">
        <f>IF(NOT(ISBLANK(Audit[[#This Row],[Audit Candidate 11]])), Audit[[#This Row],[Audit Candidate 11]]-Audit[[#This Row],[Candidate 11]], "")</f>
        <v/>
      </c>
      <c r="AP26" s="114" t="str">
        <f>IF(NOT(ISBLANK(Audit[[#This Row],[Audit Candidate 12]])), Audit[[#This Row],[Audit Candidate 12]]-Audit[[#This Row],[Candidate 12]], "")</f>
        <v/>
      </c>
      <c r="AQ26" s="114">
        <f>SUMIF(Audit[[#This Row],[Difference Winner]:[Difference Candidate 12]], "&gt;0")</f>
        <v>0</v>
      </c>
      <c r="AR26" s="114">
        <f>SUM(Audit[[#This Row],[Difference Winner]:[Difference Candidate 12]])</f>
        <v>0</v>
      </c>
      <c r="AS26" s="114">
        <f>IF(Audit[[#This Row],[Times p Drawn - With Replacement]]&gt;0, IF(Audit[[#This Row],[Canceled Differences]]&lt;0, Audit[[#This Row],[Max Differences]]+ABS(Audit[[#This Row],[Canceled Differences]]), Audit[[#This Row],[Max Differences]]), 0)</f>
        <v>0</v>
      </c>
      <c r="AT26" s="114">
        <f>'Sampling Data'!AB26</f>
        <v>2.5369978858350951E-2</v>
      </c>
      <c r="AU26" s="114">
        <f>IF(
      SUM(Audit[[#This Row],[Audit Losing Candidate]:[Audit Candidate 12]])
      &lt;&gt;0,
      (Audit[[#This Row],[Winning Candidate]]-Audit[[#This Row],[Losing Candidate]]-(Audit[[#This Row],[Audit Winning Candidate]]-Audit[[#This Row],[Audit Losing Candidate]]))/(Audit[[#Totals],[Winning Candidate]]-Audit[[#Totals],[Losing Candidate]]),
      0
)</f>
        <v>0</v>
      </c>
      <c r="AV2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6" s="114">
        <f>IF(Audit[[#This Row],[Max Relative Error (ep)]] = 0, 0, Audit[[#This Row],[Max Relative Error (ep)]]/Audit[[#This Row],[Error Bound (up) - Max. possible relative overstatement]])</f>
        <v>0</v>
      </c>
      <c r="BH2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26" s="114">
        <f t="shared" si="1"/>
        <v>1</v>
      </c>
      <c r="BJ26" s="114">
        <f>PRODUCT($BI$5:BI26)</f>
        <v>0.7911882341462948</v>
      </c>
      <c r="BK26" s="112">
        <f>1 - Audit[[#This Row],[K-M P Value]]</f>
        <v>0.2088117658537052</v>
      </c>
      <c r="BL26" s="114" t="str">
        <f>IF(Audit[[#This Row],[K-M P Value]]&gt;1-'General Info'!$B$12,"Continue", "Stop")</f>
        <v>Continue</v>
      </c>
      <c r="BM26" s="113" t="b">
        <f>IF(Audit[[#This Row],[Status - Continue or stop audit]] = "Continue", TRUE, IF(BL25 = "Continue", TRUE, FALSE))</f>
        <v>1</v>
      </c>
      <c r="BN26" s="113"/>
    </row>
    <row r="27" spans="1:66" ht="15" hidden="1" customHeight="1" x14ac:dyDescent="0.35">
      <c r="A27" s="114" t="str">
        <f>'Sampling Data'!AI27</f>
        <v/>
      </c>
      <c r="B27" s="114" t="str">
        <f>'Sampling Data'!A27</f>
        <v>8724 SPFLD X   (AV)</v>
      </c>
      <c r="C27" s="114">
        <f>'Sampling Data'!B27</f>
        <v>8</v>
      </c>
      <c r="D27" s="114">
        <f>'Sampling Data'!C27</f>
        <v>1</v>
      </c>
      <c r="E27" s="115">
        <f>'Sampling Data'!D27</f>
        <v>0</v>
      </c>
      <c r="F27" s="115">
        <f>'Sampling Data'!E27</f>
        <v>0</v>
      </c>
      <c r="G27" s="115">
        <f>'Sampling Data'!F27</f>
        <v>0</v>
      </c>
      <c r="H27" s="115">
        <f>'Sampling Data'!G27</f>
        <v>0</v>
      </c>
      <c r="I27" s="115">
        <f>'Sampling Data'!H27</f>
        <v>0</v>
      </c>
      <c r="J27" s="115">
        <f>'Sampling Data'!I27</f>
        <v>0</v>
      </c>
      <c r="K27" s="115">
        <f>'Sampling Data'!J27</f>
        <v>0</v>
      </c>
      <c r="L27" s="115">
        <f>'Sampling Data'!K27</f>
        <v>0</v>
      </c>
      <c r="M27" s="115">
        <f>'Sampling Data'!L27</f>
        <v>0</v>
      </c>
      <c r="N27" s="115">
        <f>'Sampling Data'!M27</f>
        <v>0</v>
      </c>
      <c r="O27" s="114">
        <f>'Sampling Data'!N27</f>
        <v>0</v>
      </c>
      <c r="P27" s="114">
        <f>'Sampling Data'!O27</f>
        <v>0</v>
      </c>
      <c r="Q27" s="114">
        <f>'Sampling Data'!P27</f>
        <v>9</v>
      </c>
      <c r="R27" s="114">
        <f>'Sampling Data'!AJ27</f>
        <v>0</v>
      </c>
      <c r="S27" s="116"/>
      <c r="T27" s="116"/>
      <c r="U27" s="117"/>
      <c r="V27" s="117"/>
      <c r="W27" s="116"/>
      <c r="X27" s="116"/>
      <c r="Y27" s="116"/>
      <c r="Z27" s="116"/>
      <c r="AA27" s="15"/>
      <c r="AB27" s="15"/>
      <c r="AC27" s="15"/>
      <c r="AD27" s="15"/>
      <c r="AE27" s="118" t="str">
        <f>IF(NOT(ISBLANK(Audit[[#This Row],[Audit Winning Candidate]])), Audit[[#This Row],[Audit Winning Candidate]]-Audit[[#This Row],[Winning Candidate]], "")</f>
        <v/>
      </c>
      <c r="AF27" s="114" t="str">
        <f>IF(NOT(ISBLANK(Audit[[#This Row],[Audit Losing Candidate]])), Audit[[#This Row],[Audit Losing Candidate]]-Audit[[#This Row],[Losing Candidate]], "")</f>
        <v/>
      </c>
      <c r="AG27" s="114" t="str">
        <f>IF(NOT(ISBLANK(Audit[[#This Row],[Audit Candidate 3]])), Audit[[#This Row],[Audit Candidate 3]]-Audit[[#This Row],[Candidate 3]], "")</f>
        <v/>
      </c>
      <c r="AH27" s="114" t="str">
        <f>IF(NOT(ISBLANK(Audit[[#This Row],[Audit Candidate 4]])),Audit[[#This Row],[Audit Candidate 4]]-Audit[[#This Row],[Candidate 4]], "")</f>
        <v/>
      </c>
      <c r="AI27" s="114" t="str">
        <f>IF(NOT(ISBLANK(Audit[[#This Row],[Audit Candidate 5]])), Audit[[#This Row],[Audit Candidate 5]]-Audit[[#This Row],[Candidate 5]], "")</f>
        <v/>
      </c>
      <c r="AJ27" s="114" t="str">
        <f>IF(NOT(ISBLANK(Audit[[#This Row],[Audit Candidate 6]])), Audit[[#This Row],[Audit Candidate 6]]-Audit[[#This Row],[Candidate 6]], "")</f>
        <v/>
      </c>
      <c r="AK27" s="114" t="str">
        <f>IF(NOT(ISBLANK(Audit[[#This Row],[Audit Candidate 7]])), Audit[[#This Row],[Audit Candidate 7]]-Audit[[#This Row],[Candidate 7]], "")</f>
        <v/>
      </c>
      <c r="AL27" s="114" t="str">
        <f>IF(NOT(ISBLANK(Audit[[#This Row],[Audit Candidate 8]])), Audit[[#This Row],[Audit Candidate 8]]-Audit[[#This Row],[Candidate 8]], "")</f>
        <v/>
      </c>
      <c r="AM27" s="114" t="str">
        <f>IF(NOT(ISBLANK(Audit[[#This Row],[Audit Candidate 9]])), Audit[[#This Row],[Audit Candidate 9]]-Audit[[#This Row],[Candidate 9]], "")</f>
        <v/>
      </c>
      <c r="AN27" s="114" t="str">
        <f>IF(NOT(ISBLANK(Audit[[#This Row],[Audit Candidate 10]])), Audit[[#This Row],[Audit Candidate 10]]-Audit[[#This Row],[Candidate 10]], "")</f>
        <v/>
      </c>
      <c r="AO27" s="114" t="str">
        <f>IF(NOT(ISBLANK(Audit[[#This Row],[Audit Candidate 11]])), Audit[[#This Row],[Audit Candidate 11]]-Audit[[#This Row],[Candidate 11]], "")</f>
        <v/>
      </c>
      <c r="AP27" s="114" t="str">
        <f>IF(NOT(ISBLANK(Audit[[#This Row],[Audit Candidate 12]])), Audit[[#This Row],[Audit Candidate 12]]-Audit[[#This Row],[Candidate 12]], "")</f>
        <v/>
      </c>
      <c r="AQ27" s="114">
        <f>SUMIF(Audit[[#This Row],[Difference Winner]:[Difference Candidate 12]], "&gt;0")</f>
        <v>0</v>
      </c>
      <c r="AR27" s="114">
        <f>SUM(Audit[[#This Row],[Difference Winner]:[Difference Candidate 12]])</f>
        <v>0</v>
      </c>
      <c r="AS27" s="114">
        <f>IF(Audit[[#This Row],[Times p Drawn - With Replacement]]&gt;0, IF(Audit[[#This Row],[Canceled Differences]]&lt;0, Audit[[#This Row],[Max Differences]]+ABS(Audit[[#This Row],[Canceled Differences]]), Audit[[#This Row],[Max Differences]]), 0)</f>
        <v>0</v>
      </c>
      <c r="AT27" s="114">
        <f>'Sampling Data'!AB27</f>
        <v>3.382663847780127E-2</v>
      </c>
      <c r="AU27" s="114">
        <f>IF(
      SUM(Audit[[#This Row],[Audit Losing Candidate]:[Audit Candidate 12]])
      &lt;&gt;0,
      (Audit[[#This Row],[Winning Candidate]]-Audit[[#This Row],[Losing Candidate]]-(Audit[[#This Row],[Audit Winning Candidate]]-Audit[[#This Row],[Audit Losing Candidate]]))/(Audit[[#Totals],[Winning Candidate]]-Audit[[#Totals],[Losing Candidate]]),
      0
)</f>
        <v>0</v>
      </c>
      <c r="AV2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7" s="114">
        <f>IF(Audit[[#This Row],[Max Relative Error (ep)]] = 0, 0, Audit[[#This Row],[Max Relative Error (ep)]]/Audit[[#This Row],[Error Bound (up) - Max. possible relative overstatement]])</f>
        <v>0</v>
      </c>
      <c r="BH2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27" s="114">
        <f t="shared" si="1"/>
        <v>1</v>
      </c>
      <c r="BJ27" s="114">
        <f>PRODUCT($BI$5:BI27)</f>
        <v>0.7911882341462948</v>
      </c>
      <c r="BK27" s="112">
        <f>1 - Audit[[#This Row],[K-M P Value]]</f>
        <v>0.2088117658537052</v>
      </c>
      <c r="BL27" s="114" t="str">
        <f>IF(Audit[[#This Row],[K-M P Value]]&gt;1-'General Info'!$B$12,"Continue", "Stop")</f>
        <v>Continue</v>
      </c>
      <c r="BM27" s="113" t="b">
        <f>IF(Audit[[#This Row],[Status - Continue or stop audit]] = "Continue", TRUE, IF(BL26 = "Continue", TRUE, FALSE))</f>
        <v>1</v>
      </c>
      <c r="BN27" s="113"/>
    </row>
    <row r="28" spans="1:66" ht="15" hidden="1" customHeight="1" x14ac:dyDescent="0.35">
      <c r="A28" s="114" t="str">
        <f>'Sampling Data'!AI28</f>
        <v/>
      </c>
      <c r="B28" s="114" t="str">
        <f>'Sampling Data'!A28</f>
        <v>8902 SYCAM B   (AV)</v>
      </c>
      <c r="C28" s="114">
        <f>'Sampling Data'!B28</f>
        <v>16</v>
      </c>
      <c r="D28" s="114">
        <f>'Sampling Data'!C28</f>
        <v>16</v>
      </c>
      <c r="E28" s="115">
        <f>'Sampling Data'!D28</f>
        <v>0</v>
      </c>
      <c r="F28" s="115">
        <f>'Sampling Data'!E28</f>
        <v>0</v>
      </c>
      <c r="G28" s="115">
        <f>'Sampling Data'!F28</f>
        <v>0</v>
      </c>
      <c r="H28" s="115">
        <f>'Sampling Data'!G28</f>
        <v>0</v>
      </c>
      <c r="I28" s="115">
        <f>'Sampling Data'!H28</f>
        <v>0</v>
      </c>
      <c r="J28" s="115">
        <f>'Sampling Data'!I28</f>
        <v>0</v>
      </c>
      <c r="K28" s="115">
        <f>'Sampling Data'!J28</f>
        <v>0</v>
      </c>
      <c r="L28" s="115">
        <f>'Sampling Data'!K28</f>
        <v>0</v>
      </c>
      <c r="M28" s="115">
        <f>'Sampling Data'!L28</f>
        <v>0</v>
      </c>
      <c r="N28" s="115">
        <f>'Sampling Data'!M28</f>
        <v>0</v>
      </c>
      <c r="O28" s="114">
        <f>'Sampling Data'!N28</f>
        <v>0</v>
      </c>
      <c r="P28" s="114">
        <f>'Sampling Data'!O28</f>
        <v>2</v>
      </c>
      <c r="Q28" s="114">
        <f>'Sampling Data'!P28</f>
        <v>34</v>
      </c>
      <c r="R28" s="114">
        <f>'Sampling Data'!AJ28</f>
        <v>0</v>
      </c>
      <c r="S28" s="116"/>
      <c r="T28" s="116"/>
      <c r="U28" s="117"/>
      <c r="V28" s="117"/>
      <c r="W28" s="116"/>
      <c r="X28" s="116"/>
      <c r="Y28" s="116"/>
      <c r="Z28" s="116"/>
      <c r="AA28" s="15"/>
      <c r="AB28" s="15"/>
      <c r="AC28" s="15"/>
      <c r="AD28" s="15"/>
      <c r="AE28" s="118" t="str">
        <f>IF(NOT(ISBLANK(Audit[[#This Row],[Audit Winning Candidate]])), Audit[[#This Row],[Audit Winning Candidate]]-Audit[[#This Row],[Winning Candidate]], "")</f>
        <v/>
      </c>
      <c r="AF28" s="114" t="str">
        <f>IF(NOT(ISBLANK(Audit[[#This Row],[Audit Losing Candidate]])), Audit[[#This Row],[Audit Losing Candidate]]-Audit[[#This Row],[Losing Candidate]], "")</f>
        <v/>
      </c>
      <c r="AG28" s="114" t="str">
        <f>IF(NOT(ISBLANK(Audit[[#This Row],[Audit Candidate 3]])), Audit[[#This Row],[Audit Candidate 3]]-Audit[[#This Row],[Candidate 3]], "")</f>
        <v/>
      </c>
      <c r="AH28" s="114" t="str">
        <f>IF(NOT(ISBLANK(Audit[[#This Row],[Audit Candidate 4]])),Audit[[#This Row],[Audit Candidate 4]]-Audit[[#This Row],[Candidate 4]], "")</f>
        <v/>
      </c>
      <c r="AI28" s="114" t="str">
        <f>IF(NOT(ISBLANK(Audit[[#This Row],[Audit Candidate 5]])), Audit[[#This Row],[Audit Candidate 5]]-Audit[[#This Row],[Candidate 5]], "")</f>
        <v/>
      </c>
      <c r="AJ28" s="114" t="str">
        <f>IF(NOT(ISBLANK(Audit[[#This Row],[Audit Candidate 6]])), Audit[[#This Row],[Audit Candidate 6]]-Audit[[#This Row],[Candidate 6]], "")</f>
        <v/>
      </c>
      <c r="AK28" s="114" t="str">
        <f>IF(NOT(ISBLANK(Audit[[#This Row],[Audit Candidate 7]])), Audit[[#This Row],[Audit Candidate 7]]-Audit[[#This Row],[Candidate 7]], "")</f>
        <v/>
      </c>
      <c r="AL28" s="114" t="str">
        <f>IF(NOT(ISBLANK(Audit[[#This Row],[Audit Candidate 8]])), Audit[[#This Row],[Audit Candidate 8]]-Audit[[#This Row],[Candidate 8]], "")</f>
        <v/>
      </c>
      <c r="AM28" s="114" t="str">
        <f>IF(NOT(ISBLANK(Audit[[#This Row],[Audit Candidate 9]])), Audit[[#This Row],[Audit Candidate 9]]-Audit[[#This Row],[Candidate 9]], "")</f>
        <v/>
      </c>
      <c r="AN28" s="114" t="str">
        <f>IF(NOT(ISBLANK(Audit[[#This Row],[Audit Candidate 10]])), Audit[[#This Row],[Audit Candidate 10]]-Audit[[#This Row],[Candidate 10]], "")</f>
        <v/>
      </c>
      <c r="AO28" s="114" t="str">
        <f>IF(NOT(ISBLANK(Audit[[#This Row],[Audit Candidate 11]])), Audit[[#This Row],[Audit Candidate 11]]-Audit[[#This Row],[Candidate 11]], "")</f>
        <v/>
      </c>
      <c r="AP28" s="114" t="str">
        <f>IF(NOT(ISBLANK(Audit[[#This Row],[Audit Candidate 12]])), Audit[[#This Row],[Audit Candidate 12]]-Audit[[#This Row],[Candidate 12]], "")</f>
        <v/>
      </c>
      <c r="AQ28" s="114">
        <f>SUMIF(Audit[[#This Row],[Difference Winner]:[Difference Candidate 12]], "&gt;0")</f>
        <v>0</v>
      </c>
      <c r="AR28" s="114">
        <f>SUM(Audit[[#This Row],[Difference Winner]:[Difference Candidate 12]])</f>
        <v>0</v>
      </c>
      <c r="AS28" s="114">
        <f>IF(Audit[[#This Row],[Times p Drawn - With Replacement]]&gt;0, IF(Audit[[#This Row],[Canceled Differences]]&lt;0, Audit[[#This Row],[Max Differences]]+ABS(Audit[[#This Row],[Canceled Differences]]), Audit[[#This Row],[Max Differences]]), 0)</f>
        <v>0</v>
      </c>
      <c r="AT28" s="114">
        <f>'Sampling Data'!AB28</f>
        <v>7.1881606765327691E-2</v>
      </c>
      <c r="AU28" s="114">
        <f>IF(
      SUM(Audit[[#This Row],[Audit Losing Candidate]:[Audit Candidate 12]])
      &lt;&gt;0,
      (Audit[[#This Row],[Winning Candidate]]-Audit[[#This Row],[Losing Candidate]]-(Audit[[#This Row],[Audit Winning Candidate]]-Audit[[#This Row],[Audit Losing Candidate]]))/(Audit[[#Totals],[Winning Candidate]]-Audit[[#Totals],[Losing Candidate]]),
      0
)</f>
        <v>0</v>
      </c>
      <c r="AV2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8" s="114">
        <f>IF(Audit[[#This Row],[Max Relative Error (ep)]] = 0, 0, Audit[[#This Row],[Max Relative Error (ep)]]/Audit[[#This Row],[Error Bound (up) - Max. possible relative overstatement]])</f>
        <v>0</v>
      </c>
      <c r="BH2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28" s="114">
        <f t="shared" si="1"/>
        <v>1</v>
      </c>
      <c r="BJ28" s="114">
        <f>PRODUCT($BI$5:BI28)</f>
        <v>0.7911882341462948</v>
      </c>
      <c r="BK28" s="112">
        <f>1 - Audit[[#This Row],[K-M P Value]]</f>
        <v>0.2088117658537052</v>
      </c>
      <c r="BL28" s="114" t="str">
        <f>IF(Audit[[#This Row],[K-M P Value]]&gt;1-'General Info'!$B$12,"Continue", "Stop")</f>
        <v>Continue</v>
      </c>
      <c r="BM28" s="113" t="b">
        <f>IF(Audit[[#This Row],[Status - Continue or stop audit]] = "Continue", TRUE, IF(BL27 = "Continue", TRUE, FALSE))</f>
        <v>1</v>
      </c>
      <c r="BN28" s="113"/>
    </row>
    <row r="29" spans="1:66" ht="15" hidden="1" customHeight="1" x14ac:dyDescent="0.35">
      <c r="A29" s="114" t="str">
        <f>'Sampling Data'!AI29</f>
        <v/>
      </c>
      <c r="B29" s="114" t="str">
        <f>'Sampling Data'!A29</f>
        <v>8904 SYCAM D   (AV)</v>
      </c>
      <c r="C29" s="114">
        <f>'Sampling Data'!B29</f>
        <v>2</v>
      </c>
      <c r="D29" s="114">
        <f>'Sampling Data'!C29</f>
        <v>7</v>
      </c>
      <c r="E29" s="115">
        <f>'Sampling Data'!D29</f>
        <v>0</v>
      </c>
      <c r="F29" s="115">
        <f>'Sampling Data'!E29</f>
        <v>0</v>
      </c>
      <c r="G29" s="115">
        <f>'Sampling Data'!F29</f>
        <v>0</v>
      </c>
      <c r="H29" s="115">
        <f>'Sampling Data'!G29</f>
        <v>0</v>
      </c>
      <c r="I29" s="115">
        <f>'Sampling Data'!H29</f>
        <v>0</v>
      </c>
      <c r="J29" s="115">
        <f>'Sampling Data'!I29</f>
        <v>0</v>
      </c>
      <c r="K29" s="115">
        <f>'Sampling Data'!J29</f>
        <v>0</v>
      </c>
      <c r="L29" s="115">
        <f>'Sampling Data'!K29</f>
        <v>0</v>
      </c>
      <c r="M29" s="115">
        <f>'Sampling Data'!L29</f>
        <v>0</v>
      </c>
      <c r="N29" s="115">
        <f>'Sampling Data'!M29</f>
        <v>0</v>
      </c>
      <c r="O29" s="114">
        <f>'Sampling Data'!N29</f>
        <v>0</v>
      </c>
      <c r="P29" s="114">
        <f>'Sampling Data'!O29</f>
        <v>0</v>
      </c>
      <c r="Q29" s="114">
        <f>'Sampling Data'!P29</f>
        <v>9</v>
      </c>
      <c r="R29" s="114">
        <f>'Sampling Data'!AJ29</f>
        <v>0</v>
      </c>
      <c r="S29" s="116"/>
      <c r="T29" s="116"/>
      <c r="U29" s="117"/>
      <c r="V29" s="117"/>
      <c r="W29" s="116"/>
      <c r="X29" s="116"/>
      <c r="Y29" s="116"/>
      <c r="Z29" s="116"/>
      <c r="AA29" s="15"/>
      <c r="AB29" s="15"/>
      <c r="AC29" s="15"/>
      <c r="AD29" s="15"/>
      <c r="AE29" s="118" t="str">
        <f>IF(NOT(ISBLANK(Audit[[#This Row],[Audit Winning Candidate]])), Audit[[#This Row],[Audit Winning Candidate]]-Audit[[#This Row],[Winning Candidate]], "")</f>
        <v/>
      </c>
      <c r="AF29" s="114" t="str">
        <f>IF(NOT(ISBLANK(Audit[[#This Row],[Audit Losing Candidate]])), Audit[[#This Row],[Audit Losing Candidate]]-Audit[[#This Row],[Losing Candidate]], "")</f>
        <v/>
      </c>
      <c r="AG29" s="114" t="str">
        <f>IF(NOT(ISBLANK(Audit[[#This Row],[Audit Candidate 3]])), Audit[[#This Row],[Audit Candidate 3]]-Audit[[#This Row],[Candidate 3]], "")</f>
        <v/>
      </c>
      <c r="AH29" s="114" t="str">
        <f>IF(NOT(ISBLANK(Audit[[#This Row],[Audit Candidate 4]])),Audit[[#This Row],[Audit Candidate 4]]-Audit[[#This Row],[Candidate 4]], "")</f>
        <v/>
      </c>
      <c r="AI29" s="114" t="str">
        <f>IF(NOT(ISBLANK(Audit[[#This Row],[Audit Candidate 5]])), Audit[[#This Row],[Audit Candidate 5]]-Audit[[#This Row],[Candidate 5]], "")</f>
        <v/>
      </c>
      <c r="AJ29" s="114" t="str">
        <f>IF(NOT(ISBLANK(Audit[[#This Row],[Audit Candidate 6]])), Audit[[#This Row],[Audit Candidate 6]]-Audit[[#This Row],[Candidate 6]], "")</f>
        <v/>
      </c>
      <c r="AK29" s="114" t="str">
        <f>IF(NOT(ISBLANK(Audit[[#This Row],[Audit Candidate 7]])), Audit[[#This Row],[Audit Candidate 7]]-Audit[[#This Row],[Candidate 7]], "")</f>
        <v/>
      </c>
      <c r="AL29" s="114" t="str">
        <f>IF(NOT(ISBLANK(Audit[[#This Row],[Audit Candidate 8]])), Audit[[#This Row],[Audit Candidate 8]]-Audit[[#This Row],[Candidate 8]], "")</f>
        <v/>
      </c>
      <c r="AM29" s="114" t="str">
        <f>IF(NOT(ISBLANK(Audit[[#This Row],[Audit Candidate 9]])), Audit[[#This Row],[Audit Candidate 9]]-Audit[[#This Row],[Candidate 9]], "")</f>
        <v/>
      </c>
      <c r="AN29" s="114" t="str">
        <f>IF(NOT(ISBLANK(Audit[[#This Row],[Audit Candidate 10]])), Audit[[#This Row],[Audit Candidate 10]]-Audit[[#This Row],[Candidate 10]], "")</f>
        <v/>
      </c>
      <c r="AO29" s="114" t="str">
        <f>IF(NOT(ISBLANK(Audit[[#This Row],[Audit Candidate 11]])), Audit[[#This Row],[Audit Candidate 11]]-Audit[[#This Row],[Candidate 11]], "")</f>
        <v/>
      </c>
      <c r="AP29" s="114" t="str">
        <f>IF(NOT(ISBLANK(Audit[[#This Row],[Audit Candidate 12]])), Audit[[#This Row],[Audit Candidate 12]]-Audit[[#This Row],[Candidate 12]], "")</f>
        <v/>
      </c>
      <c r="AQ29" s="114">
        <f>SUMIF(Audit[[#This Row],[Difference Winner]:[Difference Candidate 12]], "&gt;0")</f>
        <v>0</v>
      </c>
      <c r="AR29" s="114">
        <f>SUM(Audit[[#This Row],[Difference Winner]:[Difference Candidate 12]])</f>
        <v>0</v>
      </c>
      <c r="AS29" s="114">
        <f>IF(Audit[[#This Row],[Times p Drawn - With Replacement]]&gt;0, IF(Audit[[#This Row],[Canceled Differences]]&lt;0, Audit[[#This Row],[Max Differences]]+ABS(Audit[[#This Row],[Canceled Differences]]), Audit[[#This Row],[Max Differences]]), 0)</f>
        <v>0</v>
      </c>
      <c r="AT29" s="114">
        <f>'Sampling Data'!AB29</f>
        <v>8.4566596194503175E-3</v>
      </c>
      <c r="AU29" s="114">
        <f>IF(
      SUM(Audit[[#This Row],[Audit Losing Candidate]:[Audit Candidate 12]])
      &lt;&gt;0,
      (Audit[[#This Row],[Winning Candidate]]-Audit[[#This Row],[Losing Candidate]]-(Audit[[#This Row],[Audit Winning Candidate]]-Audit[[#This Row],[Audit Losing Candidate]]))/(Audit[[#Totals],[Winning Candidate]]-Audit[[#Totals],[Losing Candidate]]),
      0
)</f>
        <v>0</v>
      </c>
      <c r="AV2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2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2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2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2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2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2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2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2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2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2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29" s="114">
        <f>IF(Audit[[#This Row],[Max Relative Error (ep)]] = 0, 0, Audit[[#This Row],[Max Relative Error (ep)]]/Audit[[#This Row],[Error Bound (up) - Max. possible relative overstatement]])</f>
        <v>0</v>
      </c>
      <c r="BH2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29" s="114">
        <f t="shared" si="1"/>
        <v>1</v>
      </c>
      <c r="BJ29" s="114">
        <f>PRODUCT($BI$5:BI29)</f>
        <v>0.7911882341462948</v>
      </c>
      <c r="BK29" s="112">
        <f>1 - Audit[[#This Row],[K-M P Value]]</f>
        <v>0.2088117658537052</v>
      </c>
      <c r="BL29" s="114" t="str">
        <f>IF(Audit[[#This Row],[K-M P Value]]&gt;1-'General Info'!$B$12,"Continue", "Stop")</f>
        <v>Continue</v>
      </c>
      <c r="BM29" s="113" t="b">
        <f>IF(Audit[[#This Row],[Status - Continue or stop audit]] = "Continue", TRUE, IF(BL28 = "Continue", TRUE, FALSE))</f>
        <v>1</v>
      </c>
      <c r="BN29" s="113"/>
    </row>
    <row r="30" spans="1:66" ht="15" customHeight="1" x14ac:dyDescent="0.35">
      <c r="A30" s="114">
        <f>'Sampling Data'!AI30</f>
        <v>18</v>
      </c>
      <c r="B30" s="114" t="str">
        <f>'Sampling Data'!A30</f>
        <v>8909 SYCAM I   (AV)</v>
      </c>
      <c r="C30" s="114">
        <f>'Sampling Data'!B30</f>
        <v>13</v>
      </c>
      <c r="D30" s="114">
        <f>'Sampling Data'!C30</f>
        <v>16</v>
      </c>
      <c r="E30" s="115">
        <f>'Sampling Data'!D30</f>
        <v>0</v>
      </c>
      <c r="F30" s="115">
        <f>'Sampling Data'!E30</f>
        <v>0</v>
      </c>
      <c r="G30" s="115">
        <f>'Sampling Data'!F30</f>
        <v>0</v>
      </c>
      <c r="H30" s="115">
        <f>'Sampling Data'!G30</f>
        <v>0</v>
      </c>
      <c r="I30" s="115">
        <f>'Sampling Data'!H30</f>
        <v>0</v>
      </c>
      <c r="J30" s="115">
        <f>'Sampling Data'!I30</f>
        <v>0</v>
      </c>
      <c r="K30" s="115">
        <f>'Sampling Data'!J30</f>
        <v>0</v>
      </c>
      <c r="L30" s="115">
        <f>'Sampling Data'!K30</f>
        <v>0</v>
      </c>
      <c r="M30" s="115">
        <f>'Sampling Data'!L30</f>
        <v>0</v>
      </c>
      <c r="N30" s="115">
        <f>'Sampling Data'!M30</f>
        <v>0</v>
      </c>
      <c r="O30" s="114">
        <f>'Sampling Data'!N30</f>
        <v>0</v>
      </c>
      <c r="P30" s="114">
        <f>'Sampling Data'!O30</f>
        <v>1</v>
      </c>
      <c r="Q30" s="114">
        <f>'Sampling Data'!P30</f>
        <v>30</v>
      </c>
      <c r="R30" s="114">
        <f>'Sampling Data'!AJ30</f>
        <v>1</v>
      </c>
      <c r="S30" s="116">
        <v>13</v>
      </c>
      <c r="T30" s="116">
        <v>16</v>
      </c>
      <c r="U30" s="117"/>
      <c r="V30" s="117"/>
      <c r="W30" s="116"/>
      <c r="X30" s="116"/>
      <c r="Y30" s="116"/>
      <c r="Z30" s="116"/>
      <c r="AA30" s="15"/>
      <c r="AB30" s="15"/>
      <c r="AC30" s="15"/>
      <c r="AD30" s="15"/>
      <c r="AE30" s="118">
        <f>IF(NOT(ISBLANK(Audit[[#This Row],[Audit Winning Candidate]])), Audit[[#This Row],[Audit Winning Candidate]]-Audit[[#This Row],[Winning Candidate]], "")</f>
        <v>0</v>
      </c>
      <c r="AF30" s="114">
        <f>IF(NOT(ISBLANK(Audit[[#This Row],[Audit Losing Candidate]])), Audit[[#This Row],[Audit Losing Candidate]]-Audit[[#This Row],[Losing Candidate]], "")</f>
        <v>0</v>
      </c>
      <c r="AG30" s="114" t="str">
        <f>IF(NOT(ISBLANK(Audit[[#This Row],[Audit Candidate 3]])), Audit[[#This Row],[Audit Candidate 3]]-Audit[[#This Row],[Candidate 3]], "")</f>
        <v/>
      </c>
      <c r="AH30" s="114" t="str">
        <f>IF(NOT(ISBLANK(Audit[[#This Row],[Audit Candidate 4]])),Audit[[#This Row],[Audit Candidate 4]]-Audit[[#This Row],[Candidate 4]], "")</f>
        <v/>
      </c>
      <c r="AI30" s="114" t="str">
        <f>IF(NOT(ISBLANK(Audit[[#This Row],[Audit Candidate 5]])), Audit[[#This Row],[Audit Candidate 5]]-Audit[[#This Row],[Candidate 5]], "")</f>
        <v/>
      </c>
      <c r="AJ30" s="114" t="str">
        <f>IF(NOT(ISBLANK(Audit[[#This Row],[Audit Candidate 6]])), Audit[[#This Row],[Audit Candidate 6]]-Audit[[#This Row],[Candidate 6]], "")</f>
        <v/>
      </c>
      <c r="AK30" s="114" t="str">
        <f>IF(NOT(ISBLANK(Audit[[#This Row],[Audit Candidate 7]])), Audit[[#This Row],[Audit Candidate 7]]-Audit[[#This Row],[Candidate 7]], "")</f>
        <v/>
      </c>
      <c r="AL30" s="114" t="str">
        <f>IF(NOT(ISBLANK(Audit[[#This Row],[Audit Candidate 8]])), Audit[[#This Row],[Audit Candidate 8]]-Audit[[#This Row],[Candidate 8]], "")</f>
        <v/>
      </c>
      <c r="AM30" s="114" t="str">
        <f>IF(NOT(ISBLANK(Audit[[#This Row],[Audit Candidate 9]])), Audit[[#This Row],[Audit Candidate 9]]-Audit[[#This Row],[Candidate 9]], "")</f>
        <v/>
      </c>
      <c r="AN30" s="114" t="str">
        <f>IF(NOT(ISBLANK(Audit[[#This Row],[Audit Candidate 10]])), Audit[[#This Row],[Audit Candidate 10]]-Audit[[#This Row],[Candidate 10]], "")</f>
        <v/>
      </c>
      <c r="AO30" s="114" t="str">
        <f>IF(NOT(ISBLANK(Audit[[#This Row],[Audit Candidate 11]])), Audit[[#This Row],[Audit Candidate 11]]-Audit[[#This Row],[Candidate 11]], "")</f>
        <v/>
      </c>
      <c r="AP30" s="114" t="str">
        <f>IF(NOT(ISBLANK(Audit[[#This Row],[Audit Candidate 12]])), Audit[[#This Row],[Audit Candidate 12]]-Audit[[#This Row],[Candidate 12]], "")</f>
        <v/>
      </c>
      <c r="AQ30" s="114">
        <f>SUMIF(Audit[[#This Row],[Difference Winner]:[Difference Candidate 12]], "&gt;0")</f>
        <v>0</v>
      </c>
      <c r="AR30" s="114">
        <f>SUM(Audit[[#This Row],[Difference Winner]:[Difference Candidate 12]])</f>
        <v>0</v>
      </c>
      <c r="AS30" s="114">
        <f>IF(Audit[[#This Row],[Times p Drawn - With Replacement]]&gt;0, IF(Audit[[#This Row],[Canceled Differences]]&lt;0, Audit[[#This Row],[Max Differences]]+ABS(Audit[[#This Row],[Canceled Differences]]), Audit[[#This Row],[Max Differences]]), 0)</f>
        <v>0</v>
      </c>
      <c r="AT30" s="114">
        <f>'Sampling Data'!AB30</f>
        <v>5.7082452431289642E-2</v>
      </c>
      <c r="AU30" s="114">
        <f>IF(
      SUM(Audit[[#This Row],[Audit Losing Candidate]:[Audit Candidate 12]])
      &lt;&gt;0,
      (Audit[[#This Row],[Winning Candidate]]-Audit[[#This Row],[Losing Candidate]]-(Audit[[#This Row],[Audit Winning Candidate]]-Audit[[#This Row],[Audit Losing Candidate]]))/(Audit[[#Totals],[Winning Candidate]]-Audit[[#Totals],[Losing Candidate]]),
      0
)</f>
        <v>0</v>
      </c>
      <c r="AV3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0" s="114">
        <f>IF(Audit[[#This Row],[Max Relative Error (ep)]] = 0, 0, Audit[[#This Row],[Max Relative Error (ep)]]/Audit[[#This Row],[Error Bound (up) - Max. possible relative overstatement]])</f>
        <v>0</v>
      </c>
      <c r="BH3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30" s="114">
        <f t="shared" si="1"/>
        <v>0.92489679263258173</v>
      </c>
      <c r="BJ30" s="114">
        <f>PRODUCT($BI$5:BI30)</f>
        <v>0.73176746013054417</v>
      </c>
      <c r="BK30" s="112">
        <f>1 - Audit[[#This Row],[K-M P Value]]</f>
        <v>0.26823253986945583</v>
      </c>
      <c r="BL30" s="114" t="str">
        <f>IF(Audit[[#This Row],[K-M P Value]]&gt;1-'General Info'!$B$12,"Continue", "Stop")</f>
        <v>Continue</v>
      </c>
      <c r="BM30" s="113" t="b">
        <f>IF(Audit[[#This Row],[Status - Continue or stop audit]] = "Continue", TRUE, IF(BL29 = "Continue", TRUE, FALSE))</f>
        <v>1</v>
      </c>
      <c r="BN30" s="113"/>
    </row>
    <row r="31" spans="1:66" ht="15" hidden="1" customHeight="1" x14ac:dyDescent="0.35">
      <c r="A31" s="114" t="str">
        <f>'Sampling Data'!AI31</f>
        <v/>
      </c>
      <c r="B31" s="114" t="str">
        <f>'Sampling Data'!A31</f>
        <v>9701 WOOD A   (AV)</v>
      </c>
      <c r="C31" s="114">
        <f>'Sampling Data'!B31</f>
        <v>16</v>
      </c>
      <c r="D31" s="114">
        <f>'Sampling Data'!C31</f>
        <v>12</v>
      </c>
      <c r="E31" s="115">
        <f>'Sampling Data'!D31</f>
        <v>0</v>
      </c>
      <c r="F31" s="115">
        <f>'Sampling Data'!E31</f>
        <v>0</v>
      </c>
      <c r="G31" s="115">
        <f>'Sampling Data'!F31</f>
        <v>0</v>
      </c>
      <c r="H31" s="115">
        <f>'Sampling Data'!G31</f>
        <v>0</v>
      </c>
      <c r="I31" s="115">
        <f>'Sampling Data'!H31</f>
        <v>0</v>
      </c>
      <c r="J31" s="115">
        <f>'Sampling Data'!I31</f>
        <v>0</v>
      </c>
      <c r="K31" s="115">
        <f>'Sampling Data'!J31</f>
        <v>0</v>
      </c>
      <c r="L31" s="115">
        <f>'Sampling Data'!K31</f>
        <v>0</v>
      </c>
      <c r="M31" s="115">
        <f>'Sampling Data'!L31</f>
        <v>0</v>
      </c>
      <c r="N31" s="115">
        <f>'Sampling Data'!M31</f>
        <v>0</v>
      </c>
      <c r="O31" s="114">
        <f>'Sampling Data'!N31</f>
        <v>1</v>
      </c>
      <c r="P31" s="114">
        <f>'Sampling Data'!O31</f>
        <v>0</v>
      </c>
      <c r="Q31" s="114">
        <f>'Sampling Data'!P31</f>
        <v>29</v>
      </c>
      <c r="R31" s="114">
        <f>'Sampling Data'!AJ31</f>
        <v>0</v>
      </c>
      <c r="S31" s="116"/>
      <c r="T31" s="116"/>
      <c r="U31" s="117"/>
      <c r="V31" s="117"/>
      <c r="W31" s="116"/>
      <c r="X31" s="116"/>
      <c r="Y31" s="116"/>
      <c r="Z31" s="116"/>
      <c r="AA31" s="15"/>
      <c r="AB31" s="15"/>
      <c r="AC31" s="15"/>
      <c r="AD31" s="15"/>
      <c r="AE31" s="118" t="str">
        <f>IF(NOT(ISBLANK(Audit[[#This Row],[Audit Winning Candidate]])), Audit[[#This Row],[Audit Winning Candidate]]-Audit[[#This Row],[Winning Candidate]], "")</f>
        <v/>
      </c>
      <c r="AF31" s="114" t="str">
        <f>IF(NOT(ISBLANK(Audit[[#This Row],[Audit Losing Candidate]])), Audit[[#This Row],[Audit Losing Candidate]]-Audit[[#This Row],[Losing Candidate]], "")</f>
        <v/>
      </c>
      <c r="AG31" s="114" t="str">
        <f>IF(NOT(ISBLANK(Audit[[#This Row],[Audit Candidate 3]])), Audit[[#This Row],[Audit Candidate 3]]-Audit[[#This Row],[Candidate 3]], "")</f>
        <v/>
      </c>
      <c r="AH31" s="114" t="str">
        <f>IF(NOT(ISBLANK(Audit[[#This Row],[Audit Candidate 4]])),Audit[[#This Row],[Audit Candidate 4]]-Audit[[#This Row],[Candidate 4]], "")</f>
        <v/>
      </c>
      <c r="AI31" s="114" t="str">
        <f>IF(NOT(ISBLANK(Audit[[#This Row],[Audit Candidate 5]])), Audit[[#This Row],[Audit Candidate 5]]-Audit[[#This Row],[Candidate 5]], "")</f>
        <v/>
      </c>
      <c r="AJ31" s="114" t="str">
        <f>IF(NOT(ISBLANK(Audit[[#This Row],[Audit Candidate 6]])), Audit[[#This Row],[Audit Candidate 6]]-Audit[[#This Row],[Candidate 6]], "")</f>
        <v/>
      </c>
      <c r="AK31" s="114" t="str">
        <f>IF(NOT(ISBLANK(Audit[[#This Row],[Audit Candidate 7]])), Audit[[#This Row],[Audit Candidate 7]]-Audit[[#This Row],[Candidate 7]], "")</f>
        <v/>
      </c>
      <c r="AL31" s="114" t="str">
        <f>IF(NOT(ISBLANK(Audit[[#This Row],[Audit Candidate 8]])), Audit[[#This Row],[Audit Candidate 8]]-Audit[[#This Row],[Candidate 8]], "")</f>
        <v/>
      </c>
      <c r="AM31" s="114" t="str">
        <f>IF(NOT(ISBLANK(Audit[[#This Row],[Audit Candidate 9]])), Audit[[#This Row],[Audit Candidate 9]]-Audit[[#This Row],[Candidate 9]], "")</f>
        <v/>
      </c>
      <c r="AN31" s="114" t="str">
        <f>IF(NOT(ISBLANK(Audit[[#This Row],[Audit Candidate 10]])), Audit[[#This Row],[Audit Candidate 10]]-Audit[[#This Row],[Candidate 10]], "")</f>
        <v/>
      </c>
      <c r="AO31" s="114" t="str">
        <f>IF(NOT(ISBLANK(Audit[[#This Row],[Audit Candidate 11]])), Audit[[#This Row],[Audit Candidate 11]]-Audit[[#This Row],[Candidate 11]], "")</f>
        <v/>
      </c>
      <c r="AP31" s="114" t="str">
        <f>IF(NOT(ISBLANK(Audit[[#This Row],[Audit Candidate 12]])), Audit[[#This Row],[Audit Candidate 12]]-Audit[[#This Row],[Candidate 12]], "")</f>
        <v/>
      </c>
      <c r="AQ31" s="114">
        <f>SUMIF(Audit[[#This Row],[Difference Winner]:[Difference Candidate 12]], "&gt;0")</f>
        <v>0</v>
      </c>
      <c r="AR31" s="114">
        <f>SUM(Audit[[#This Row],[Difference Winner]:[Difference Candidate 12]])</f>
        <v>0</v>
      </c>
      <c r="AS31" s="114">
        <f>IF(Audit[[#This Row],[Times p Drawn - With Replacement]]&gt;0, IF(Audit[[#This Row],[Canceled Differences]]&lt;0, Audit[[#This Row],[Max Differences]]+ABS(Audit[[#This Row],[Canceled Differences]]), Audit[[#This Row],[Max Differences]]), 0)</f>
        <v>0</v>
      </c>
      <c r="AT31" s="114">
        <f>'Sampling Data'!AB31</f>
        <v>6.9767441860465115E-2</v>
      </c>
      <c r="AU31" s="114">
        <f>IF(
      SUM(Audit[[#This Row],[Audit Losing Candidate]:[Audit Candidate 12]])
      &lt;&gt;0,
      (Audit[[#This Row],[Winning Candidate]]-Audit[[#This Row],[Losing Candidate]]-(Audit[[#This Row],[Audit Winning Candidate]]-Audit[[#This Row],[Audit Losing Candidate]]))/(Audit[[#Totals],[Winning Candidate]]-Audit[[#Totals],[Losing Candidate]]),
      0
)</f>
        <v>0</v>
      </c>
      <c r="AV3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1" s="114">
        <f>IF(Audit[[#This Row],[Max Relative Error (ep)]] = 0, 0, Audit[[#This Row],[Max Relative Error (ep)]]/Audit[[#This Row],[Error Bound (up) - Max. possible relative overstatement]])</f>
        <v>0</v>
      </c>
      <c r="BH3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31" s="114">
        <f t="shared" si="1"/>
        <v>1</v>
      </c>
      <c r="BJ31" s="114">
        <f>PRODUCT($BI$5:BI31)</f>
        <v>0.73176746013054417</v>
      </c>
      <c r="BK31" s="112">
        <f>1 - Audit[[#This Row],[K-M P Value]]</f>
        <v>0.26823253986945583</v>
      </c>
      <c r="BL31" s="114" t="str">
        <f>IF(Audit[[#This Row],[K-M P Value]]&gt;1-'General Info'!$B$12,"Continue", "Stop")</f>
        <v>Continue</v>
      </c>
      <c r="BM31" s="113" t="b">
        <f>IF(Audit[[#This Row],[Status - Continue or stop audit]] = "Continue", TRUE, IF(BL30 = "Continue", TRUE, FALSE))</f>
        <v>1</v>
      </c>
      <c r="BN31" s="113"/>
    </row>
    <row r="32" spans="1:66" ht="15" hidden="1" customHeight="1" x14ac:dyDescent="0.35">
      <c r="A32" s="114" t="str">
        <f>'Sampling Data'!AI32</f>
        <v/>
      </c>
      <c r="B32" s="114" t="str">
        <f>'Sampling Data'!A32</f>
        <v>9702 WOOD B   (AV)</v>
      </c>
      <c r="C32" s="114">
        <f>'Sampling Data'!B32</f>
        <v>5</v>
      </c>
      <c r="D32" s="114">
        <f>'Sampling Data'!C32</f>
        <v>2</v>
      </c>
      <c r="E32" s="115">
        <f>'Sampling Data'!D32</f>
        <v>0</v>
      </c>
      <c r="F32" s="115">
        <f>'Sampling Data'!E32</f>
        <v>0</v>
      </c>
      <c r="G32" s="115">
        <f>'Sampling Data'!F32</f>
        <v>0</v>
      </c>
      <c r="H32" s="115">
        <f>'Sampling Data'!G32</f>
        <v>0</v>
      </c>
      <c r="I32" s="115">
        <f>'Sampling Data'!H32</f>
        <v>0</v>
      </c>
      <c r="J32" s="115">
        <f>'Sampling Data'!I32</f>
        <v>0</v>
      </c>
      <c r="K32" s="115">
        <f>'Sampling Data'!J32</f>
        <v>0</v>
      </c>
      <c r="L32" s="115">
        <f>'Sampling Data'!K32</f>
        <v>0</v>
      </c>
      <c r="M32" s="115">
        <f>'Sampling Data'!L32</f>
        <v>0</v>
      </c>
      <c r="N32" s="115">
        <f>'Sampling Data'!M32</f>
        <v>0</v>
      </c>
      <c r="O32" s="114">
        <f>'Sampling Data'!N32</f>
        <v>0</v>
      </c>
      <c r="P32" s="114">
        <f>'Sampling Data'!O32</f>
        <v>0</v>
      </c>
      <c r="Q32" s="114">
        <f>'Sampling Data'!P32</f>
        <v>7</v>
      </c>
      <c r="R32" s="114">
        <f>'Sampling Data'!AJ32</f>
        <v>0</v>
      </c>
      <c r="S32" s="116"/>
      <c r="T32" s="116"/>
      <c r="U32" s="117"/>
      <c r="V32" s="117"/>
      <c r="W32" s="116"/>
      <c r="X32" s="116"/>
      <c r="Y32" s="116"/>
      <c r="Z32" s="116"/>
      <c r="AA32" s="15"/>
      <c r="AB32" s="15"/>
      <c r="AC32" s="15"/>
      <c r="AD32" s="15"/>
      <c r="AE32" s="118" t="str">
        <f>IF(NOT(ISBLANK(Audit[[#This Row],[Audit Winning Candidate]])), Audit[[#This Row],[Audit Winning Candidate]]-Audit[[#This Row],[Winning Candidate]], "")</f>
        <v/>
      </c>
      <c r="AF32" s="114" t="str">
        <f>IF(NOT(ISBLANK(Audit[[#This Row],[Audit Losing Candidate]])), Audit[[#This Row],[Audit Losing Candidate]]-Audit[[#This Row],[Losing Candidate]], "")</f>
        <v/>
      </c>
      <c r="AG32" s="114" t="str">
        <f>IF(NOT(ISBLANK(Audit[[#This Row],[Audit Candidate 3]])), Audit[[#This Row],[Audit Candidate 3]]-Audit[[#This Row],[Candidate 3]], "")</f>
        <v/>
      </c>
      <c r="AH32" s="114" t="str">
        <f>IF(NOT(ISBLANK(Audit[[#This Row],[Audit Candidate 4]])),Audit[[#This Row],[Audit Candidate 4]]-Audit[[#This Row],[Candidate 4]], "")</f>
        <v/>
      </c>
      <c r="AI32" s="114" t="str">
        <f>IF(NOT(ISBLANK(Audit[[#This Row],[Audit Candidate 5]])), Audit[[#This Row],[Audit Candidate 5]]-Audit[[#This Row],[Candidate 5]], "")</f>
        <v/>
      </c>
      <c r="AJ32" s="114" t="str">
        <f>IF(NOT(ISBLANK(Audit[[#This Row],[Audit Candidate 6]])), Audit[[#This Row],[Audit Candidate 6]]-Audit[[#This Row],[Candidate 6]], "")</f>
        <v/>
      </c>
      <c r="AK32" s="114" t="str">
        <f>IF(NOT(ISBLANK(Audit[[#This Row],[Audit Candidate 7]])), Audit[[#This Row],[Audit Candidate 7]]-Audit[[#This Row],[Candidate 7]], "")</f>
        <v/>
      </c>
      <c r="AL32" s="114" t="str">
        <f>IF(NOT(ISBLANK(Audit[[#This Row],[Audit Candidate 8]])), Audit[[#This Row],[Audit Candidate 8]]-Audit[[#This Row],[Candidate 8]], "")</f>
        <v/>
      </c>
      <c r="AM32" s="114" t="str">
        <f>IF(NOT(ISBLANK(Audit[[#This Row],[Audit Candidate 9]])), Audit[[#This Row],[Audit Candidate 9]]-Audit[[#This Row],[Candidate 9]], "")</f>
        <v/>
      </c>
      <c r="AN32" s="114" t="str">
        <f>IF(NOT(ISBLANK(Audit[[#This Row],[Audit Candidate 10]])), Audit[[#This Row],[Audit Candidate 10]]-Audit[[#This Row],[Candidate 10]], "")</f>
        <v/>
      </c>
      <c r="AO32" s="114" t="str">
        <f>IF(NOT(ISBLANK(Audit[[#This Row],[Audit Candidate 11]])), Audit[[#This Row],[Audit Candidate 11]]-Audit[[#This Row],[Candidate 11]], "")</f>
        <v/>
      </c>
      <c r="AP32" s="114" t="str">
        <f>IF(NOT(ISBLANK(Audit[[#This Row],[Audit Candidate 12]])), Audit[[#This Row],[Audit Candidate 12]]-Audit[[#This Row],[Candidate 12]], "")</f>
        <v/>
      </c>
      <c r="AQ32" s="114">
        <f>SUMIF(Audit[[#This Row],[Difference Winner]:[Difference Candidate 12]], "&gt;0")</f>
        <v>0</v>
      </c>
      <c r="AR32" s="114">
        <f>SUM(Audit[[#This Row],[Difference Winner]:[Difference Candidate 12]])</f>
        <v>0</v>
      </c>
      <c r="AS32" s="114">
        <f>IF(Audit[[#This Row],[Times p Drawn - With Replacement]]&gt;0, IF(Audit[[#This Row],[Canceled Differences]]&lt;0, Audit[[#This Row],[Max Differences]]+ABS(Audit[[#This Row],[Canceled Differences]]), Audit[[#This Row],[Max Differences]]), 0)</f>
        <v>0</v>
      </c>
      <c r="AT32" s="114">
        <f>'Sampling Data'!AB32</f>
        <v>2.1141649048625793E-2</v>
      </c>
      <c r="AU32" s="114">
        <f>IF(
      SUM(Audit[[#This Row],[Audit Losing Candidate]:[Audit Candidate 12]])
      &lt;&gt;0,
      (Audit[[#This Row],[Winning Candidate]]-Audit[[#This Row],[Losing Candidate]]-(Audit[[#This Row],[Audit Winning Candidate]]-Audit[[#This Row],[Audit Losing Candidate]]))/(Audit[[#Totals],[Winning Candidate]]-Audit[[#Totals],[Losing Candidate]]),
      0
)</f>
        <v>0</v>
      </c>
      <c r="AV3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2" s="114">
        <f>IF(Audit[[#This Row],[Max Relative Error (ep)]] = 0, 0, Audit[[#This Row],[Max Relative Error (ep)]]/Audit[[#This Row],[Error Bound (up) - Max. possible relative overstatement]])</f>
        <v>0</v>
      </c>
      <c r="BH3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32" s="114">
        <f t="shared" si="1"/>
        <v>1</v>
      </c>
      <c r="BJ32" s="114">
        <f>PRODUCT($BI$5:BI32)</f>
        <v>0.73176746013054417</v>
      </c>
      <c r="BK32" s="112">
        <f>1 - Audit[[#This Row],[K-M P Value]]</f>
        <v>0.26823253986945583</v>
      </c>
      <c r="BL32" s="114" t="str">
        <f>IF(Audit[[#This Row],[K-M P Value]]&gt;1-'General Info'!$B$12,"Continue", "Stop")</f>
        <v>Continue</v>
      </c>
      <c r="BM32" s="113" t="b">
        <f>IF(Audit[[#This Row],[Status - Continue or stop audit]] = "Continue", TRUE, IF(BL31 = "Continue", TRUE, FALSE))</f>
        <v>1</v>
      </c>
      <c r="BN32" s="113"/>
    </row>
    <row r="33" spans="1:66" ht="15" hidden="1" customHeight="1" x14ac:dyDescent="0.35">
      <c r="A33" s="114" t="str">
        <f>'Sampling Data'!AI33</f>
        <v/>
      </c>
      <c r="B33" s="114" t="str">
        <f>'Sampling Data'!A33</f>
        <v>2823 BLUE 2-C   (ED)</v>
      </c>
      <c r="C33" s="114">
        <f>'Sampling Data'!B33</f>
        <v>2</v>
      </c>
      <c r="D33" s="114">
        <f>'Sampling Data'!C33</f>
        <v>5</v>
      </c>
      <c r="E33" s="115">
        <f>'Sampling Data'!D33</f>
        <v>0</v>
      </c>
      <c r="F33" s="115">
        <f>'Sampling Data'!E33</f>
        <v>0</v>
      </c>
      <c r="G33" s="115">
        <f>'Sampling Data'!F33</f>
        <v>0</v>
      </c>
      <c r="H33" s="115">
        <f>'Sampling Data'!G33</f>
        <v>0</v>
      </c>
      <c r="I33" s="115">
        <f>'Sampling Data'!H33</f>
        <v>0</v>
      </c>
      <c r="J33" s="115">
        <f>'Sampling Data'!I33</f>
        <v>0</v>
      </c>
      <c r="K33" s="115">
        <f>'Sampling Data'!J33</f>
        <v>0</v>
      </c>
      <c r="L33" s="115">
        <f>'Sampling Data'!K33</f>
        <v>0</v>
      </c>
      <c r="M33" s="115">
        <f>'Sampling Data'!L33</f>
        <v>0</v>
      </c>
      <c r="N33" s="115">
        <f>'Sampling Data'!M33</f>
        <v>0</v>
      </c>
      <c r="O33" s="114">
        <f>'Sampling Data'!N33</f>
        <v>0</v>
      </c>
      <c r="P33" s="114">
        <f>'Sampling Data'!O33</f>
        <v>0</v>
      </c>
      <c r="Q33" s="114">
        <f>'Sampling Data'!P33</f>
        <v>7</v>
      </c>
      <c r="R33" s="114">
        <f>'Sampling Data'!AJ33</f>
        <v>0</v>
      </c>
      <c r="S33" s="116"/>
      <c r="T33" s="116"/>
      <c r="U33" s="117"/>
      <c r="V33" s="117"/>
      <c r="W33" s="116"/>
      <c r="X33" s="116"/>
      <c r="Y33" s="116"/>
      <c r="Z33" s="116"/>
      <c r="AA33" s="15"/>
      <c r="AB33" s="15"/>
      <c r="AC33" s="15"/>
      <c r="AD33" s="15"/>
      <c r="AE33" s="118" t="str">
        <f>IF(NOT(ISBLANK(Audit[[#This Row],[Audit Winning Candidate]])), Audit[[#This Row],[Audit Winning Candidate]]-Audit[[#This Row],[Winning Candidate]], "")</f>
        <v/>
      </c>
      <c r="AF33" s="114" t="str">
        <f>IF(NOT(ISBLANK(Audit[[#This Row],[Audit Losing Candidate]])), Audit[[#This Row],[Audit Losing Candidate]]-Audit[[#This Row],[Losing Candidate]], "")</f>
        <v/>
      </c>
      <c r="AG33" s="114" t="str">
        <f>IF(NOT(ISBLANK(Audit[[#This Row],[Audit Candidate 3]])), Audit[[#This Row],[Audit Candidate 3]]-Audit[[#This Row],[Candidate 3]], "")</f>
        <v/>
      </c>
      <c r="AH33" s="114" t="str">
        <f>IF(NOT(ISBLANK(Audit[[#This Row],[Audit Candidate 4]])),Audit[[#This Row],[Audit Candidate 4]]-Audit[[#This Row],[Candidate 4]], "")</f>
        <v/>
      </c>
      <c r="AI33" s="114" t="str">
        <f>IF(NOT(ISBLANK(Audit[[#This Row],[Audit Candidate 5]])), Audit[[#This Row],[Audit Candidate 5]]-Audit[[#This Row],[Candidate 5]], "")</f>
        <v/>
      </c>
      <c r="AJ33" s="114" t="str">
        <f>IF(NOT(ISBLANK(Audit[[#This Row],[Audit Candidate 6]])), Audit[[#This Row],[Audit Candidate 6]]-Audit[[#This Row],[Candidate 6]], "")</f>
        <v/>
      </c>
      <c r="AK33" s="114" t="str">
        <f>IF(NOT(ISBLANK(Audit[[#This Row],[Audit Candidate 7]])), Audit[[#This Row],[Audit Candidate 7]]-Audit[[#This Row],[Candidate 7]], "")</f>
        <v/>
      </c>
      <c r="AL33" s="114" t="str">
        <f>IF(NOT(ISBLANK(Audit[[#This Row],[Audit Candidate 8]])), Audit[[#This Row],[Audit Candidate 8]]-Audit[[#This Row],[Candidate 8]], "")</f>
        <v/>
      </c>
      <c r="AM33" s="114" t="str">
        <f>IF(NOT(ISBLANK(Audit[[#This Row],[Audit Candidate 9]])), Audit[[#This Row],[Audit Candidate 9]]-Audit[[#This Row],[Candidate 9]], "")</f>
        <v/>
      </c>
      <c r="AN33" s="114" t="str">
        <f>IF(NOT(ISBLANK(Audit[[#This Row],[Audit Candidate 10]])), Audit[[#This Row],[Audit Candidate 10]]-Audit[[#This Row],[Candidate 10]], "")</f>
        <v/>
      </c>
      <c r="AO33" s="114" t="str">
        <f>IF(NOT(ISBLANK(Audit[[#This Row],[Audit Candidate 11]])), Audit[[#This Row],[Audit Candidate 11]]-Audit[[#This Row],[Candidate 11]], "")</f>
        <v/>
      </c>
      <c r="AP33" s="114" t="str">
        <f>IF(NOT(ISBLANK(Audit[[#This Row],[Audit Candidate 12]])), Audit[[#This Row],[Audit Candidate 12]]-Audit[[#This Row],[Candidate 12]], "")</f>
        <v/>
      </c>
      <c r="AQ33" s="114">
        <f>SUMIF(Audit[[#This Row],[Difference Winner]:[Difference Candidate 12]], "&gt;0")</f>
        <v>0</v>
      </c>
      <c r="AR33" s="114">
        <f>SUM(Audit[[#This Row],[Difference Winner]:[Difference Candidate 12]])</f>
        <v>0</v>
      </c>
      <c r="AS33" s="114">
        <f>IF(Audit[[#This Row],[Times p Drawn - With Replacement]]&gt;0, IF(Audit[[#This Row],[Canceled Differences]]&lt;0, Audit[[#This Row],[Max Differences]]+ABS(Audit[[#This Row],[Canceled Differences]]), Audit[[#This Row],[Max Differences]]), 0)</f>
        <v>0</v>
      </c>
      <c r="AT33" s="114">
        <f>'Sampling Data'!AB33</f>
        <v>8.4566596194503175E-3</v>
      </c>
      <c r="AU33" s="114">
        <f>IF(
      SUM(Audit[[#This Row],[Audit Losing Candidate]:[Audit Candidate 12]])
      &lt;&gt;0,
      (Audit[[#This Row],[Winning Candidate]]-Audit[[#This Row],[Losing Candidate]]-(Audit[[#This Row],[Audit Winning Candidate]]-Audit[[#This Row],[Audit Losing Candidate]]))/(Audit[[#Totals],[Winning Candidate]]-Audit[[#Totals],[Losing Candidate]]),
      0
)</f>
        <v>0</v>
      </c>
      <c r="AV3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3" s="114">
        <f>IF(Audit[[#This Row],[Max Relative Error (ep)]] = 0, 0, Audit[[#This Row],[Max Relative Error (ep)]]/Audit[[#This Row],[Error Bound (up) - Max. possible relative overstatement]])</f>
        <v>0</v>
      </c>
      <c r="BH3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33" s="114">
        <f t="shared" si="1"/>
        <v>1</v>
      </c>
      <c r="BJ33" s="114">
        <f>PRODUCT($BI$5:BI33)</f>
        <v>0.73176746013054417</v>
      </c>
      <c r="BK33" s="112">
        <f>1 - Audit[[#This Row],[K-M P Value]]</f>
        <v>0.26823253986945583</v>
      </c>
      <c r="BL33" s="114" t="str">
        <f>IF(Audit[[#This Row],[K-M P Value]]&gt;1-'General Info'!$B$12,"Continue", "Stop")</f>
        <v>Continue</v>
      </c>
      <c r="BM33" s="113" t="b">
        <f>IF(Audit[[#This Row],[Status - Continue or stop audit]] = "Continue", TRUE, IF(BL32 = "Continue", TRUE, FALSE))</f>
        <v>1</v>
      </c>
      <c r="BN33" s="113"/>
    </row>
    <row r="34" spans="1:66" ht="15" customHeight="1" x14ac:dyDescent="0.35">
      <c r="A34" s="114">
        <f>'Sampling Data'!AI34</f>
        <v>19</v>
      </c>
      <c r="B34" s="114" t="str">
        <f>'Sampling Data'!A34</f>
        <v>4911 SHAR 1-A   (ED)</v>
      </c>
      <c r="C34" s="114">
        <f>'Sampling Data'!B34</f>
        <v>59</v>
      </c>
      <c r="D34" s="114">
        <f>'Sampling Data'!C34</f>
        <v>51</v>
      </c>
      <c r="E34" s="115">
        <f>'Sampling Data'!D34</f>
        <v>0</v>
      </c>
      <c r="F34" s="115">
        <f>'Sampling Data'!E34</f>
        <v>0</v>
      </c>
      <c r="G34" s="115">
        <f>'Sampling Data'!F34</f>
        <v>0</v>
      </c>
      <c r="H34" s="115">
        <f>'Sampling Data'!G34</f>
        <v>0</v>
      </c>
      <c r="I34" s="115">
        <f>'Sampling Data'!H34</f>
        <v>0</v>
      </c>
      <c r="J34" s="115">
        <f>'Sampling Data'!I34</f>
        <v>0</v>
      </c>
      <c r="K34" s="115">
        <f>'Sampling Data'!J34</f>
        <v>0</v>
      </c>
      <c r="L34" s="115">
        <f>'Sampling Data'!K34</f>
        <v>0</v>
      </c>
      <c r="M34" s="115">
        <f>'Sampling Data'!L34</f>
        <v>0</v>
      </c>
      <c r="N34" s="115">
        <f>'Sampling Data'!M34</f>
        <v>0</v>
      </c>
      <c r="O34" s="114">
        <f>'Sampling Data'!N34</f>
        <v>0</v>
      </c>
      <c r="P34" s="114">
        <f>'Sampling Data'!O34</f>
        <v>0</v>
      </c>
      <c r="Q34" s="114">
        <f>'Sampling Data'!P34</f>
        <v>110</v>
      </c>
      <c r="R34" s="114">
        <f>'Sampling Data'!AJ34</f>
        <v>1</v>
      </c>
      <c r="S34" s="116">
        <v>59</v>
      </c>
      <c r="T34" s="116">
        <v>51</v>
      </c>
      <c r="U34" s="117"/>
      <c r="V34" s="117"/>
      <c r="W34" s="116"/>
      <c r="X34" s="116"/>
      <c r="Y34" s="116"/>
      <c r="Z34" s="116"/>
      <c r="AA34" s="15"/>
      <c r="AB34" s="15"/>
      <c r="AC34" s="15"/>
      <c r="AD34" s="15"/>
      <c r="AE34" s="118">
        <f>IF(NOT(ISBLANK(Audit[[#This Row],[Audit Winning Candidate]])), Audit[[#This Row],[Audit Winning Candidate]]-Audit[[#This Row],[Winning Candidate]], "")</f>
        <v>0</v>
      </c>
      <c r="AF34" s="114">
        <f>IF(NOT(ISBLANK(Audit[[#This Row],[Audit Losing Candidate]])), Audit[[#This Row],[Audit Losing Candidate]]-Audit[[#This Row],[Losing Candidate]], "")</f>
        <v>0</v>
      </c>
      <c r="AG34" s="114" t="str">
        <f>IF(NOT(ISBLANK(Audit[[#This Row],[Audit Candidate 3]])), Audit[[#This Row],[Audit Candidate 3]]-Audit[[#This Row],[Candidate 3]], "")</f>
        <v/>
      </c>
      <c r="AH34" s="114" t="str">
        <f>IF(NOT(ISBLANK(Audit[[#This Row],[Audit Candidate 4]])),Audit[[#This Row],[Audit Candidate 4]]-Audit[[#This Row],[Candidate 4]], "")</f>
        <v/>
      </c>
      <c r="AI34" s="114" t="str">
        <f>IF(NOT(ISBLANK(Audit[[#This Row],[Audit Candidate 5]])), Audit[[#This Row],[Audit Candidate 5]]-Audit[[#This Row],[Candidate 5]], "")</f>
        <v/>
      </c>
      <c r="AJ34" s="114" t="str">
        <f>IF(NOT(ISBLANK(Audit[[#This Row],[Audit Candidate 6]])), Audit[[#This Row],[Audit Candidate 6]]-Audit[[#This Row],[Candidate 6]], "")</f>
        <v/>
      </c>
      <c r="AK34" s="114" t="str">
        <f>IF(NOT(ISBLANK(Audit[[#This Row],[Audit Candidate 7]])), Audit[[#This Row],[Audit Candidate 7]]-Audit[[#This Row],[Candidate 7]], "")</f>
        <v/>
      </c>
      <c r="AL34" s="114" t="str">
        <f>IF(NOT(ISBLANK(Audit[[#This Row],[Audit Candidate 8]])), Audit[[#This Row],[Audit Candidate 8]]-Audit[[#This Row],[Candidate 8]], "")</f>
        <v/>
      </c>
      <c r="AM34" s="114" t="str">
        <f>IF(NOT(ISBLANK(Audit[[#This Row],[Audit Candidate 9]])), Audit[[#This Row],[Audit Candidate 9]]-Audit[[#This Row],[Candidate 9]], "")</f>
        <v/>
      </c>
      <c r="AN34" s="114" t="str">
        <f>IF(NOT(ISBLANK(Audit[[#This Row],[Audit Candidate 10]])), Audit[[#This Row],[Audit Candidate 10]]-Audit[[#This Row],[Candidate 10]], "")</f>
        <v/>
      </c>
      <c r="AO34" s="114" t="str">
        <f>IF(NOT(ISBLANK(Audit[[#This Row],[Audit Candidate 11]])), Audit[[#This Row],[Audit Candidate 11]]-Audit[[#This Row],[Candidate 11]], "")</f>
        <v/>
      </c>
      <c r="AP34" s="114" t="str">
        <f>IF(NOT(ISBLANK(Audit[[#This Row],[Audit Candidate 12]])), Audit[[#This Row],[Audit Candidate 12]]-Audit[[#This Row],[Candidate 12]], "")</f>
        <v/>
      </c>
      <c r="AQ34" s="114">
        <f>SUMIF(Audit[[#This Row],[Difference Winner]:[Difference Candidate 12]], "&gt;0")</f>
        <v>0</v>
      </c>
      <c r="AR34" s="114">
        <f>SUM(Audit[[#This Row],[Difference Winner]:[Difference Candidate 12]])</f>
        <v>0</v>
      </c>
      <c r="AS34" s="114">
        <f>IF(Audit[[#This Row],[Times p Drawn - With Replacement]]&gt;0, IF(Audit[[#This Row],[Canceled Differences]]&lt;0, Audit[[#This Row],[Max Differences]]+ABS(Audit[[#This Row],[Canceled Differences]]), Audit[[#This Row],[Max Differences]]), 0)</f>
        <v>0</v>
      </c>
      <c r="AT34" s="114">
        <f>'Sampling Data'!AB34</f>
        <v>0.24947145877378435</v>
      </c>
      <c r="AU34" s="114">
        <f>IF(
      SUM(Audit[[#This Row],[Audit Losing Candidate]:[Audit Candidate 12]])
      &lt;&gt;0,
      (Audit[[#This Row],[Winning Candidate]]-Audit[[#This Row],[Losing Candidate]]-(Audit[[#This Row],[Audit Winning Candidate]]-Audit[[#This Row],[Audit Losing Candidate]]))/(Audit[[#Totals],[Winning Candidate]]-Audit[[#Totals],[Losing Candidate]]),
      0
)</f>
        <v>0</v>
      </c>
      <c r="AV3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4" s="114">
        <f>IF(Audit[[#This Row],[Max Relative Error (ep)]] = 0, 0, Audit[[#This Row],[Max Relative Error (ep)]]/Audit[[#This Row],[Error Bound (up) - Max. possible relative overstatement]])</f>
        <v>0</v>
      </c>
      <c r="BH3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34" s="114">
        <f t="shared" si="1"/>
        <v>0.92489679263258173</v>
      </c>
      <c r="BJ34" s="114">
        <f>PRODUCT($BI$5:BI34)</f>
        <v>0.67680937682763098</v>
      </c>
      <c r="BK34" s="112">
        <f>1 - Audit[[#This Row],[K-M P Value]]</f>
        <v>0.32319062317236902</v>
      </c>
      <c r="BL34" s="114" t="str">
        <f>IF(Audit[[#This Row],[K-M P Value]]&gt;1-'General Info'!$B$12,"Continue", "Stop")</f>
        <v>Continue</v>
      </c>
      <c r="BM34" s="113" t="b">
        <f>IF(Audit[[#This Row],[Status - Continue or stop audit]] = "Continue", TRUE, IF(BL33 = "Continue", TRUE, FALSE))</f>
        <v>1</v>
      </c>
      <c r="BN34" s="113"/>
    </row>
    <row r="35" spans="1:66" ht="15" customHeight="1" x14ac:dyDescent="0.35">
      <c r="A35" s="114">
        <f>'Sampling Data'!AI35</f>
        <v>10</v>
      </c>
      <c r="B35" s="114" t="str">
        <f>'Sampling Data'!A35</f>
        <v>4912 SHAR 1-B   (ED)</v>
      </c>
      <c r="C35" s="114">
        <f>'Sampling Data'!B35</f>
        <v>56</v>
      </c>
      <c r="D35" s="114">
        <f>'Sampling Data'!C35</f>
        <v>33</v>
      </c>
      <c r="E35" s="115">
        <f>'Sampling Data'!D35</f>
        <v>0</v>
      </c>
      <c r="F35" s="115">
        <f>'Sampling Data'!E35</f>
        <v>0</v>
      </c>
      <c r="G35" s="115">
        <f>'Sampling Data'!F35</f>
        <v>0</v>
      </c>
      <c r="H35" s="115">
        <f>'Sampling Data'!G35</f>
        <v>0</v>
      </c>
      <c r="I35" s="115">
        <f>'Sampling Data'!H35</f>
        <v>0</v>
      </c>
      <c r="J35" s="115">
        <f>'Sampling Data'!I35</f>
        <v>0</v>
      </c>
      <c r="K35" s="115">
        <f>'Sampling Data'!J35</f>
        <v>0</v>
      </c>
      <c r="L35" s="115">
        <f>'Sampling Data'!K35</f>
        <v>0</v>
      </c>
      <c r="M35" s="115">
        <f>'Sampling Data'!L35</f>
        <v>0</v>
      </c>
      <c r="N35" s="115">
        <f>'Sampling Data'!M35</f>
        <v>0</v>
      </c>
      <c r="O35" s="114">
        <f>'Sampling Data'!N35</f>
        <v>0</v>
      </c>
      <c r="P35" s="114">
        <f>'Sampling Data'!O35</f>
        <v>0</v>
      </c>
      <c r="Q35" s="114">
        <f>'Sampling Data'!P35</f>
        <v>89</v>
      </c>
      <c r="R35" s="114">
        <f>'Sampling Data'!AJ35</f>
        <v>1</v>
      </c>
      <c r="S35" s="116">
        <v>56</v>
      </c>
      <c r="T35" s="116">
        <v>33</v>
      </c>
      <c r="U35" s="117"/>
      <c r="V35" s="117"/>
      <c r="W35" s="116"/>
      <c r="X35" s="116"/>
      <c r="Y35" s="116"/>
      <c r="Z35" s="116"/>
      <c r="AA35" s="15"/>
      <c r="AB35" s="15"/>
      <c r="AC35" s="15"/>
      <c r="AD35" s="15"/>
      <c r="AE35" s="118">
        <f>IF(NOT(ISBLANK(Audit[[#This Row],[Audit Winning Candidate]])), Audit[[#This Row],[Audit Winning Candidate]]-Audit[[#This Row],[Winning Candidate]], "")</f>
        <v>0</v>
      </c>
      <c r="AF35" s="114">
        <f>IF(NOT(ISBLANK(Audit[[#This Row],[Audit Losing Candidate]])), Audit[[#This Row],[Audit Losing Candidate]]-Audit[[#This Row],[Losing Candidate]], "")</f>
        <v>0</v>
      </c>
      <c r="AG35" s="114" t="str">
        <f>IF(NOT(ISBLANK(Audit[[#This Row],[Audit Candidate 3]])), Audit[[#This Row],[Audit Candidate 3]]-Audit[[#This Row],[Candidate 3]], "")</f>
        <v/>
      </c>
      <c r="AH35" s="114" t="str">
        <f>IF(NOT(ISBLANK(Audit[[#This Row],[Audit Candidate 4]])),Audit[[#This Row],[Audit Candidate 4]]-Audit[[#This Row],[Candidate 4]], "")</f>
        <v/>
      </c>
      <c r="AI35" s="114" t="str">
        <f>IF(NOT(ISBLANK(Audit[[#This Row],[Audit Candidate 5]])), Audit[[#This Row],[Audit Candidate 5]]-Audit[[#This Row],[Candidate 5]], "")</f>
        <v/>
      </c>
      <c r="AJ35" s="114" t="str">
        <f>IF(NOT(ISBLANK(Audit[[#This Row],[Audit Candidate 6]])), Audit[[#This Row],[Audit Candidate 6]]-Audit[[#This Row],[Candidate 6]], "")</f>
        <v/>
      </c>
      <c r="AK35" s="114" t="str">
        <f>IF(NOT(ISBLANK(Audit[[#This Row],[Audit Candidate 7]])), Audit[[#This Row],[Audit Candidate 7]]-Audit[[#This Row],[Candidate 7]], "")</f>
        <v/>
      </c>
      <c r="AL35" s="114" t="str">
        <f>IF(NOT(ISBLANK(Audit[[#This Row],[Audit Candidate 8]])), Audit[[#This Row],[Audit Candidate 8]]-Audit[[#This Row],[Candidate 8]], "")</f>
        <v/>
      </c>
      <c r="AM35" s="114" t="str">
        <f>IF(NOT(ISBLANK(Audit[[#This Row],[Audit Candidate 9]])), Audit[[#This Row],[Audit Candidate 9]]-Audit[[#This Row],[Candidate 9]], "")</f>
        <v/>
      </c>
      <c r="AN35" s="114" t="str">
        <f>IF(NOT(ISBLANK(Audit[[#This Row],[Audit Candidate 10]])), Audit[[#This Row],[Audit Candidate 10]]-Audit[[#This Row],[Candidate 10]], "")</f>
        <v/>
      </c>
      <c r="AO35" s="114" t="str">
        <f>IF(NOT(ISBLANK(Audit[[#This Row],[Audit Candidate 11]])), Audit[[#This Row],[Audit Candidate 11]]-Audit[[#This Row],[Candidate 11]], "")</f>
        <v/>
      </c>
      <c r="AP35" s="114" t="str">
        <f>IF(NOT(ISBLANK(Audit[[#This Row],[Audit Candidate 12]])), Audit[[#This Row],[Audit Candidate 12]]-Audit[[#This Row],[Candidate 12]], "")</f>
        <v/>
      </c>
      <c r="AQ35" s="114">
        <f>SUMIF(Audit[[#This Row],[Difference Winner]:[Difference Candidate 12]], "&gt;0")</f>
        <v>0</v>
      </c>
      <c r="AR35" s="114">
        <f>SUM(Audit[[#This Row],[Difference Winner]:[Difference Candidate 12]])</f>
        <v>0</v>
      </c>
      <c r="AS35" s="114">
        <f>IF(Audit[[#This Row],[Times p Drawn - With Replacement]]&gt;0, IF(Audit[[#This Row],[Canceled Differences]]&lt;0, Audit[[#This Row],[Max Differences]]+ABS(Audit[[#This Row],[Canceled Differences]]), Audit[[#This Row],[Max Differences]]), 0)</f>
        <v>0</v>
      </c>
      <c r="AT35" s="114">
        <f>'Sampling Data'!AB35</f>
        <v>0.23678646934460887</v>
      </c>
      <c r="AU35" s="114">
        <f>IF(
      SUM(Audit[[#This Row],[Audit Losing Candidate]:[Audit Candidate 12]])
      &lt;&gt;0,
      (Audit[[#This Row],[Winning Candidate]]-Audit[[#This Row],[Losing Candidate]]-(Audit[[#This Row],[Audit Winning Candidate]]-Audit[[#This Row],[Audit Losing Candidate]]))/(Audit[[#Totals],[Winning Candidate]]-Audit[[#Totals],[Losing Candidate]]),
      0
)</f>
        <v>0</v>
      </c>
      <c r="AV3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5" s="114">
        <f>IF(Audit[[#This Row],[Max Relative Error (ep)]] = 0, 0, Audit[[#This Row],[Max Relative Error (ep)]]/Audit[[#This Row],[Error Bound (up) - Max. possible relative overstatement]])</f>
        <v>0</v>
      </c>
      <c r="BH3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35" s="114">
        <f t="shared" si="1"/>
        <v>0.92489679263258173</v>
      </c>
      <c r="BJ35" s="114">
        <f>PRODUCT($BI$5:BI35)</f>
        <v>0.62597882185153231</v>
      </c>
      <c r="BK35" s="112">
        <f>1 - Audit[[#This Row],[K-M P Value]]</f>
        <v>0.37402117814846769</v>
      </c>
      <c r="BL35" s="114" t="str">
        <f>IF(Audit[[#This Row],[K-M P Value]]&gt;1-'General Info'!$B$12,"Continue", "Stop")</f>
        <v>Continue</v>
      </c>
      <c r="BM35" s="113" t="b">
        <f>IF(Audit[[#This Row],[Status - Continue or stop audit]] = "Continue", TRUE, IF(BL34 = "Continue", TRUE, FALSE))</f>
        <v>1</v>
      </c>
      <c r="BN35" s="113"/>
    </row>
    <row r="36" spans="1:66" ht="15" customHeight="1" x14ac:dyDescent="0.35">
      <c r="A36" s="114">
        <f>'Sampling Data'!AI36</f>
        <v>2</v>
      </c>
      <c r="B36" s="114" t="str">
        <f>'Sampling Data'!A36</f>
        <v>4921 SHAR 2-A   (ED)</v>
      </c>
      <c r="C36" s="114">
        <f>'Sampling Data'!B36</f>
        <v>152</v>
      </c>
      <c r="D36" s="114">
        <f>'Sampling Data'!C36</f>
        <v>127</v>
      </c>
      <c r="E36" s="115">
        <f>'Sampling Data'!D36</f>
        <v>0</v>
      </c>
      <c r="F36" s="115">
        <f>'Sampling Data'!E36</f>
        <v>0</v>
      </c>
      <c r="G36" s="115">
        <f>'Sampling Data'!F36</f>
        <v>0</v>
      </c>
      <c r="H36" s="115">
        <f>'Sampling Data'!G36</f>
        <v>0</v>
      </c>
      <c r="I36" s="115">
        <f>'Sampling Data'!H36</f>
        <v>0</v>
      </c>
      <c r="J36" s="115">
        <f>'Sampling Data'!I36</f>
        <v>0</v>
      </c>
      <c r="K36" s="115">
        <f>'Sampling Data'!J36</f>
        <v>0</v>
      </c>
      <c r="L36" s="115">
        <f>'Sampling Data'!K36</f>
        <v>0</v>
      </c>
      <c r="M36" s="115">
        <f>'Sampling Data'!L36</f>
        <v>0</v>
      </c>
      <c r="N36" s="115">
        <f>'Sampling Data'!M36</f>
        <v>0</v>
      </c>
      <c r="O36" s="114">
        <f>'Sampling Data'!N36</f>
        <v>0</v>
      </c>
      <c r="P36" s="114">
        <f>'Sampling Data'!O36</f>
        <v>2</v>
      </c>
      <c r="Q36" s="114">
        <f>'Sampling Data'!P36</f>
        <v>281</v>
      </c>
      <c r="R36" s="114">
        <f>'Sampling Data'!AJ36</f>
        <v>4</v>
      </c>
      <c r="S36" s="116">
        <v>152</v>
      </c>
      <c r="T36" s="116">
        <v>127</v>
      </c>
      <c r="U36" s="117"/>
      <c r="V36" s="117"/>
      <c r="W36" s="116"/>
      <c r="X36" s="116"/>
      <c r="Y36" s="116"/>
      <c r="Z36" s="116"/>
      <c r="AA36" s="15"/>
      <c r="AB36" s="15"/>
      <c r="AC36" s="15"/>
      <c r="AD36" s="15"/>
      <c r="AE36" s="118">
        <f>IF(NOT(ISBLANK(Audit[[#This Row],[Audit Winning Candidate]])), Audit[[#This Row],[Audit Winning Candidate]]-Audit[[#This Row],[Winning Candidate]], "")</f>
        <v>0</v>
      </c>
      <c r="AF36" s="114">
        <f>IF(NOT(ISBLANK(Audit[[#This Row],[Audit Losing Candidate]])), Audit[[#This Row],[Audit Losing Candidate]]-Audit[[#This Row],[Losing Candidate]], "")</f>
        <v>0</v>
      </c>
      <c r="AG36" s="114" t="str">
        <f>IF(NOT(ISBLANK(Audit[[#This Row],[Audit Candidate 3]])), Audit[[#This Row],[Audit Candidate 3]]-Audit[[#This Row],[Candidate 3]], "")</f>
        <v/>
      </c>
      <c r="AH36" s="114" t="str">
        <f>IF(NOT(ISBLANK(Audit[[#This Row],[Audit Candidate 4]])),Audit[[#This Row],[Audit Candidate 4]]-Audit[[#This Row],[Candidate 4]], "")</f>
        <v/>
      </c>
      <c r="AI36" s="114" t="str">
        <f>IF(NOT(ISBLANK(Audit[[#This Row],[Audit Candidate 5]])), Audit[[#This Row],[Audit Candidate 5]]-Audit[[#This Row],[Candidate 5]], "")</f>
        <v/>
      </c>
      <c r="AJ36" s="114" t="str">
        <f>IF(NOT(ISBLANK(Audit[[#This Row],[Audit Candidate 6]])), Audit[[#This Row],[Audit Candidate 6]]-Audit[[#This Row],[Candidate 6]], "")</f>
        <v/>
      </c>
      <c r="AK36" s="114" t="str">
        <f>IF(NOT(ISBLANK(Audit[[#This Row],[Audit Candidate 7]])), Audit[[#This Row],[Audit Candidate 7]]-Audit[[#This Row],[Candidate 7]], "")</f>
        <v/>
      </c>
      <c r="AL36" s="114" t="str">
        <f>IF(NOT(ISBLANK(Audit[[#This Row],[Audit Candidate 8]])), Audit[[#This Row],[Audit Candidate 8]]-Audit[[#This Row],[Candidate 8]], "")</f>
        <v/>
      </c>
      <c r="AM36" s="114" t="str">
        <f>IF(NOT(ISBLANK(Audit[[#This Row],[Audit Candidate 9]])), Audit[[#This Row],[Audit Candidate 9]]-Audit[[#This Row],[Candidate 9]], "")</f>
        <v/>
      </c>
      <c r="AN36" s="114" t="str">
        <f>IF(NOT(ISBLANK(Audit[[#This Row],[Audit Candidate 10]])), Audit[[#This Row],[Audit Candidate 10]]-Audit[[#This Row],[Candidate 10]], "")</f>
        <v/>
      </c>
      <c r="AO36" s="114" t="str">
        <f>IF(NOT(ISBLANK(Audit[[#This Row],[Audit Candidate 11]])), Audit[[#This Row],[Audit Candidate 11]]-Audit[[#This Row],[Candidate 11]], "")</f>
        <v/>
      </c>
      <c r="AP36" s="114" t="str">
        <f>IF(NOT(ISBLANK(Audit[[#This Row],[Audit Candidate 12]])), Audit[[#This Row],[Audit Candidate 12]]-Audit[[#This Row],[Candidate 12]], "")</f>
        <v/>
      </c>
      <c r="AQ36" s="114">
        <f>SUMIF(Audit[[#This Row],[Difference Winner]:[Difference Candidate 12]], "&gt;0")</f>
        <v>0</v>
      </c>
      <c r="AR36" s="114">
        <f>SUM(Audit[[#This Row],[Difference Winner]:[Difference Candidate 12]])</f>
        <v>0</v>
      </c>
      <c r="AS36" s="114">
        <f>IF(Audit[[#This Row],[Times p Drawn - With Replacement]]&gt;0, IF(Audit[[#This Row],[Canceled Differences]]&lt;0, Audit[[#This Row],[Max Differences]]+ABS(Audit[[#This Row],[Canceled Differences]]), Audit[[#This Row],[Max Differences]]), 0)</f>
        <v>0</v>
      </c>
      <c r="AT36" s="114">
        <f>'Sampling Data'!AB36</f>
        <v>0.64693446088794926</v>
      </c>
      <c r="AU36" s="114">
        <f>IF(
      SUM(Audit[[#This Row],[Audit Losing Candidate]:[Audit Candidate 12]])
      &lt;&gt;0,
      (Audit[[#This Row],[Winning Candidate]]-Audit[[#This Row],[Losing Candidate]]-(Audit[[#This Row],[Audit Winning Candidate]]-Audit[[#This Row],[Audit Losing Candidate]]))/(Audit[[#Totals],[Winning Candidate]]-Audit[[#Totals],[Losing Candidate]]),
      0
)</f>
        <v>0</v>
      </c>
      <c r="AV3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6" s="114">
        <f>IF(Audit[[#This Row],[Max Relative Error (ep)]] = 0, 0, Audit[[#This Row],[Max Relative Error (ep)]]/Audit[[#This Row],[Error Bound (up) - Max. possible relative overstatement]])</f>
        <v>0</v>
      </c>
      <c r="BH3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36" s="114">
        <f t="shared" si="1"/>
        <v>0.73176746013054417</v>
      </c>
      <c r="BJ36" s="114">
        <f>PRODUCT($BI$5:BI36)</f>
        <v>0.4580709325618062</v>
      </c>
      <c r="BK36" s="112">
        <f>1 - Audit[[#This Row],[K-M P Value]]</f>
        <v>0.5419290674381938</v>
      </c>
      <c r="BL36" s="114" t="str">
        <f>IF(Audit[[#This Row],[K-M P Value]]&gt;1-'General Info'!$B$12,"Continue", "Stop")</f>
        <v>Continue</v>
      </c>
      <c r="BM36" s="113" t="b">
        <f>IF(Audit[[#This Row],[Status - Continue or stop audit]] = "Continue", TRUE, IF(BL35 = "Continue", TRUE, FALSE))</f>
        <v>1</v>
      </c>
      <c r="BN36" s="113"/>
    </row>
    <row r="37" spans="1:66" ht="15" customHeight="1" x14ac:dyDescent="0.35">
      <c r="A37" s="114">
        <f>'Sampling Data'!AI37</f>
        <v>5</v>
      </c>
      <c r="B37" s="114" t="str">
        <f>'Sampling Data'!A37</f>
        <v>4931 SHAR 3-A   (ED)</v>
      </c>
      <c r="C37" s="114">
        <f>'Sampling Data'!B37</f>
        <v>112</v>
      </c>
      <c r="D37" s="114">
        <f>'Sampling Data'!C37</f>
        <v>155</v>
      </c>
      <c r="E37" s="115">
        <f>'Sampling Data'!D37</f>
        <v>0</v>
      </c>
      <c r="F37" s="115">
        <f>'Sampling Data'!E37</f>
        <v>0</v>
      </c>
      <c r="G37" s="115">
        <f>'Sampling Data'!F37</f>
        <v>0</v>
      </c>
      <c r="H37" s="115">
        <f>'Sampling Data'!G37</f>
        <v>0</v>
      </c>
      <c r="I37" s="115">
        <f>'Sampling Data'!H37</f>
        <v>0</v>
      </c>
      <c r="J37" s="115">
        <f>'Sampling Data'!I37</f>
        <v>0</v>
      </c>
      <c r="K37" s="115">
        <f>'Sampling Data'!J37</f>
        <v>0</v>
      </c>
      <c r="L37" s="115">
        <f>'Sampling Data'!K37</f>
        <v>0</v>
      </c>
      <c r="M37" s="115">
        <f>'Sampling Data'!L37</f>
        <v>0</v>
      </c>
      <c r="N37" s="115">
        <f>'Sampling Data'!M37</f>
        <v>0</v>
      </c>
      <c r="O37" s="114">
        <f>'Sampling Data'!N37</f>
        <v>0</v>
      </c>
      <c r="P37" s="114">
        <f>'Sampling Data'!O37</f>
        <v>0</v>
      </c>
      <c r="Q37" s="114">
        <f>'Sampling Data'!P37</f>
        <v>267</v>
      </c>
      <c r="R37" s="114">
        <f>'Sampling Data'!AJ37</f>
        <v>1</v>
      </c>
      <c r="S37" s="116">
        <v>112</v>
      </c>
      <c r="T37" s="116">
        <v>155</v>
      </c>
      <c r="U37" s="117"/>
      <c r="V37" s="117"/>
      <c r="W37" s="116"/>
      <c r="X37" s="116"/>
      <c r="Y37" s="116"/>
      <c r="Z37" s="116"/>
      <c r="AA37" s="15"/>
      <c r="AB37" s="15"/>
      <c r="AC37" s="15"/>
      <c r="AD37" s="15"/>
      <c r="AE37" s="118">
        <f>IF(NOT(ISBLANK(Audit[[#This Row],[Audit Winning Candidate]])), Audit[[#This Row],[Audit Winning Candidate]]-Audit[[#This Row],[Winning Candidate]], "")</f>
        <v>0</v>
      </c>
      <c r="AF37" s="114">
        <f>IF(NOT(ISBLANK(Audit[[#This Row],[Audit Losing Candidate]])), Audit[[#This Row],[Audit Losing Candidate]]-Audit[[#This Row],[Losing Candidate]], "")</f>
        <v>0</v>
      </c>
      <c r="AG37" s="114" t="str">
        <f>IF(NOT(ISBLANK(Audit[[#This Row],[Audit Candidate 3]])), Audit[[#This Row],[Audit Candidate 3]]-Audit[[#This Row],[Candidate 3]], "")</f>
        <v/>
      </c>
      <c r="AH37" s="114" t="str">
        <f>IF(NOT(ISBLANK(Audit[[#This Row],[Audit Candidate 4]])),Audit[[#This Row],[Audit Candidate 4]]-Audit[[#This Row],[Candidate 4]], "")</f>
        <v/>
      </c>
      <c r="AI37" s="114" t="str">
        <f>IF(NOT(ISBLANK(Audit[[#This Row],[Audit Candidate 5]])), Audit[[#This Row],[Audit Candidate 5]]-Audit[[#This Row],[Candidate 5]], "")</f>
        <v/>
      </c>
      <c r="AJ37" s="114" t="str">
        <f>IF(NOT(ISBLANK(Audit[[#This Row],[Audit Candidate 6]])), Audit[[#This Row],[Audit Candidate 6]]-Audit[[#This Row],[Candidate 6]], "")</f>
        <v/>
      </c>
      <c r="AK37" s="114" t="str">
        <f>IF(NOT(ISBLANK(Audit[[#This Row],[Audit Candidate 7]])), Audit[[#This Row],[Audit Candidate 7]]-Audit[[#This Row],[Candidate 7]], "")</f>
        <v/>
      </c>
      <c r="AL37" s="114" t="str">
        <f>IF(NOT(ISBLANK(Audit[[#This Row],[Audit Candidate 8]])), Audit[[#This Row],[Audit Candidate 8]]-Audit[[#This Row],[Candidate 8]], "")</f>
        <v/>
      </c>
      <c r="AM37" s="114" t="str">
        <f>IF(NOT(ISBLANK(Audit[[#This Row],[Audit Candidate 9]])), Audit[[#This Row],[Audit Candidate 9]]-Audit[[#This Row],[Candidate 9]], "")</f>
        <v/>
      </c>
      <c r="AN37" s="114" t="str">
        <f>IF(NOT(ISBLANK(Audit[[#This Row],[Audit Candidate 10]])), Audit[[#This Row],[Audit Candidate 10]]-Audit[[#This Row],[Candidate 10]], "")</f>
        <v/>
      </c>
      <c r="AO37" s="114" t="str">
        <f>IF(NOT(ISBLANK(Audit[[#This Row],[Audit Candidate 11]])), Audit[[#This Row],[Audit Candidate 11]]-Audit[[#This Row],[Candidate 11]], "")</f>
        <v/>
      </c>
      <c r="AP37" s="114" t="str">
        <f>IF(NOT(ISBLANK(Audit[[#This Row],[Audit Candidate 12]])), Audit[[#This Row],[Audit Candidate 12]]-Audit[[#This Row],[Candidate 12]], "")</f>
        <v/>
      </c>
      <c r="AQ37" s="114">
        <f>SUMIF(Audit[[#This Row],[Difference Winner]:[Difference Candidate 12]], "&gt;0")</f>
        <v>0</v>
      </c>
      <c r="AR37" s="114">
        <f>SUM(Audit[[#This Row],[Difference Winner]:[Difference Candidate 12]])</f>
        <v>0</v>
      </c>
      <c r="AS37" s="114">
        <f>IF(Audit[[#This Row],[Times p Drawn - With Replacement]]&gt;0, IF(Audit[[#This Row],[Canceled Differences]]&lt;0, Audit[[#This Row],[Max Differences]]+ABS(Audit[[#This Row],[Canceled Differences]]), Audit[[#This Row],[Max Differences]]), 0)</f>
        <v>0</v>
      </c>
      <c r="AT37" s="114">
        <f>'Sampling Data'!AB37</f>
        <v>0.47357293868921774</v>
      </c>
      <c r="AU37" s="114">
        <f>IF(
      SUM(Audit[[#This Row],[Audit Losing Candidate]:[Audit Candidate 12]])
      &lt;&gt;0,
      (Audit[[#This Row],[Winning Candidate]]-Audit[[#This Row],[Losing Candidate]]-(Audit[[#This Row],[Audit Winning Candidate]]-Audit[[#This Row],[Audit Losing Candidate]]))/(Audit[[#Totals],[Winning Candidate]]-Audit[[#Totals],[Losing Candidate]]),
      0
)</f>
        <v>0</v>
      </c>
      <c r="AV3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7" s="114">
        <f>IF(Audit[[#This Row],[Max Relative Error (ep)]] = 0, 0, Audit[[#This Row],[Max Relative Error (ep)]]/Audit[[#This Row],[Error Bound (up) - Max. possible relative overstatement]])</f>
        <v>0</v>
      </c>
      <c r="BH3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37" s="114">
        <f t="shared" si="1"/>
        <v>0.92489679263258173</v>
      </c>
      <c r="BJ37" s="114">
        <f>PRODUCT($BI$5:BI37)</f>
        <v>0.42366833632463019</v>
      </c>
      <c r="BK37" s="112">
        <f>1 - Audit[[#This Row],[K-M P Value]]</f>
        <v>0.57633166367536981</v>
      </c>
      <c r="BL37" s="114" t="str">
        <f>IF(Audit[[#This Row],[K-M P Value]]&gt;1-'General Info'!$B$12,"Continue", "Stop")</f>
        <v>Continue</v>
      </c>
      <c r="BM37" s="113" t="b">
        <f>IF(Audit[[#This Row],[Status - Continue or stop audit]] = "Continue", TRUE, IF(BL36 = "Continue", TRUE, FALSE))</f>
        <v>1</v>
      </c>
      <c r="BN37" s="113"/>
    </row>
    <row r="38" spans="1:66" ht="15" customHeight="1" x14ac:dyDescent="0.35">
      <c r="A38" s="114">
        <f>'Sampling Data'!AI38</f>
        <v>21</v>
      </c>
      <c r="B38" s="114" t="str">
        <f>'Sampling Data'!A38</f>
        <v>4932 SHAR 3-B   (ED)</v>
      </c>
      <c r="C38" s="114">
        <f>'Sampling Data'!B38</f>
        <v>96</v>
      </c>
      <c r="D38" s="114">
        <f>'Sampling Data'!C38</f>
        <v>143</v>
      </c>
      <c r="E38" s="115">
        <f>'Sampling Data'!D38</f>
        <v>0</v>
      </c>
      <c r="F38" s="115">
        <f>'Sampling Data'!E38</f>
        <v>0</v>
      </c>
      <c r="G38" s="115">
        <f>'Sampling Data'!F38</f>
        <v>0</v>
      </c>
      <c r="H38" s="115">
        <f>'Sampling Data'!G38</f>
        <v>0</v>
      </c>
      <c r="I38" s="115">
        <f>'Sampling Data'!H38</f>
        <v>0</v>
      </c>
      <c r="J38" s="115">
        <f>'Sampling Data'!I38</f>
        <v>0</v>
      </c>
      <c r="K38" s="115">
        <f>'Sampling Data'!J38</f>
        <v>0</v>
      </c>
      <c r="L38" s="115">
        <f>'Sampling Data'!K38</f>
        <v>0</v>
      </c>
      <c r="M38" s="115">
        <f>'Sampling Data'!L38</f>
        <v>0</v>
      </c>
      <c r="N38" s="115">
        <f>'Sampling Data'!M38</f>
        <v>0</v>
      </c>
      <c r="O38" s="114">
        <f>'Sampling Data'!N38</f>
        <v>0</v>
      </c>
      <c r="P38" s="114">
        <f>'Sampling Data'!O38</f>
        <v>0</v>
      </c>
      <c r="Q38" s="114">
        <f>'Sampling Data'!P38</f>
        <v>239</v>
      </c>
      <c r="R38" s="114">
        <f>'Sampling Data'!AJ38</f>
        <v>2</v>
      </c>
      <c r="S38" s="116">
        <v>96</v>
      </c>
      <c r="T38" s="116">
        <v>143</v>
      </c>
      <c r="U38" s="117"/>
      <c r="V38" s="117"/>
      <c r="W38" s="116"/>
      <c r="X38" s="116"/>
      <c r="Y38" s="116"/>
      <c r="Z38" s="116"/>
      <c r="AA38" s="15"/>
      <c r="AB38" s="15"/>
      <c r="AC38" s="15"/>
      <c r="AD38" s="15"/>
      <c r="AE38" s="118">
        <f>IF(NOT(ISBLANK(Audit[[#This Row],[Audit Winning Candidate]])), Audit[[#This Row],[Audit Winning Candidate]]-Audit[[#This Row],[Winning Candidate]], "")</f>
        <v>0</v>
      </c>
      <c r="AF38" s="114">
        <f>IF(NOT(ISBLANK(Audit[[#This Row],[Audit Losing Candidate]])), Audit[[#This Row],[Audit Losing Candidate]]-Audit[[#This Row],[Losing Candidate]], "")</f>
        <v>0</v>
      </c>
      <c r="AG38" s="114" t="str">
        <f>IF(NOT(ISBLANK(Audit[[#This Row],[Audit Candidate 3]])), Audit[[#This Row],[Audit Candidate 3]]-Audit[[#This Row],[Candidate 3]], "")</f>
        <v/>
      </c>
      <c r="AH38" s="114" t="str">
        <f>IF(NOT(ISBLANK(Audit[[#This Row],[Audit Candidate 4]])),Audit[[#This Row],[Audit Candidate 4]]-Audit[[#This Row],[Candidate 4]], "")</f>
        <v/>
      </c>
      <c r="AI38" s="114" t="str">
        <f>IF(NOT(ISBLANK(Audit[[#This Row],[Audit Candidate 5]])), Audit[[#This Row],[Audit Candidate 5]]-Audit[[#This Row],[Candidate 5]], "")</f>
        <v/>
      </c>
      <c r="AJ38" s="114" t="str">
        <f>IF(NOT(ISBLANK(Audit[[#This Row],[Audit Candidate 6]])), Audit[[#This Row],[Audit Candidate 6]]-Audit[[#This Row],[Candidate 6]], "")</f>
        <v/>
      </c>
      <c r="AK38" s="114" t="str">
        <f>IF(NOT(ISBLANK(Audit[[#This Row],[Audit Candidate 7]])), Audit[[#This Row],[Audit Candidate 7]]-Audit[[#This Row],[Candidate 7]], "")</f>
        <v/>
      </c>
      <c r="AL38" s="114" t="str">
        <f>IF(NOT(ISBLANK(Audit[[#This Row],[Audit Candidate 8]])), Audit[[#This Row],[Audit Candidate 8]]-Audit[[#This Row],[Candidate 8]], "")</f>
        <v/>
      </c>
      <c r="AM38" s="114" t="str">
        <f>IF(NOT(ISBLANK(Audit[[#This Row],[Audit Candidate 9]])), Audit[[#This Row],[Audit Candidate 9]]-Audit[[#This Row],[Candidate 9]], "")</f>
        <v/>
      </c>
      <c r="AN38" s="114" t="str">
        <f>IF(NOT(ISBLANK(Audit[[#This Row],[Audit Candidate 10]])), Audit[[#This Row],[Audit Candidate 10]]-Audit[[#This Row],[Candidate 10]], "")</f>
        <v/>
      </c>
      <c r="AO38" s="114" t="str">
        <f>IF(NOT(ISBLANK(Audit[[#This Row],[Audit Candidate 11]])), Audit[[#This Row],[Audit Candidate 11]]-Audit[[#This Row],[Candidate 11]], "")</f>
        <v/>
      </c>
      <c r="AP38" s="114" t="str">
        <f>IF(NOT(ISBLANK(Audit[[#This Row],[Audit Candidate 12]])), Audit[[#This Row],[Audit Candidate 12]]-Audit[[#This Row],[Candidate 12]], "")</f>
        <v/>
      </c>
      <c r="AQ38" s="114">
        <f>SUMIF(Audit[[#This Row],[Difference Winner]:[Difference Candidate 12]], "&gt;0")</f>
        <v>0</v>
      </c>
      <c r="AR38" s="114">
        <f>SUM(Audit[[#This Row],[Difference Winner]:[Difference Candidate 12]])</f>
        <v>0</v>
      </c>
      <c r="AS38" s="114">
        <f>IF(Audit[[#This Row],[Times p Drawn - With Replacement]]&gt;0, IF(Audit[[#This Row],[Canceled Differences]]&lt;0, Audit[[#This Row],[Max Differences]]+ABS(Audit[[#This Row],[Canceled Differences]]), Audit[[#This Row],[Max Differences]]), 0)</f>
        <v>0</v>
      </c>
      <c r="AT38" s="114">
        <f>'Sampling Data'!AB38</f>
        <v>0.40591966173361521</v>
      </c>
      <c r="AU38" s="114">
        <f>IF(
      SUM(Audit[[#This Row],[Audit Losing Candidate]:[Audit Candidate 12]])
      &lt;&gt;0,
      (Audit[[#This Row],[Winning Candidate]]-Audit[[#This Row],[Losing Candidate]]-(Audit[[#This Row],[Audit Winning Candidate]]-Audit[[#This Row],[Audit Losing Candidate]]))/(Audit[[#Totals],[Winning Candidate]]-Audit[[#Totals],[Losing Candidate]]),
      0
)</f>
        <v>0</v>
      </c>
      <c r="AV3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8" s="114">
        <f>IF(Audit[[#This Row],[Max Relative Error (ep)]] = 0, 0, Audit[[#This Row],[Max Relative Error (ep)]]/Audit[[#This Row],[Error Bound (up) - Max. possible relative overstatement]])</f>
        <v>0</v>
      </c>
      <c r="BH3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38" s="114">
        <f t="shared" si="1"/>
        <v>0.85543407702203689</v>
      </c>
      <c r="BJ38" s="114">
        <f>PRODUCT($BI$5:BI38)</f>
        <v>0.36242033224732195</v>
      </c>
      <c r="BK38" s="112">
        <f>1 - Audit[[#This Row],[K-M P Value]]</f>
        <v>0.63757966775267805</v>
      </c>
      <c r="BL38" s="114" t="str">
        <f>IF(Audit[[#This Row],[K-M P Value]]&gt;1-'General Info'!$B$12,"Continue", "Stop")</f>
        <v>Continue</v>
      </c>
      <c r="BM38" s="113" t="b">
        <f>IF(Audit[[#This Row],[Status - Continue or stop audit]] = "Continue", TRUE, IF(BL37 = "Continue", TRUE, FALSE))</f>
        <v>1</v>
      </c>
      <c r="BN38" s="113"/>
    </row>
    <row r="39" spans="1:66" ht="15" hidden="1" customHeight="1" x14ac:dyDescent="0.35">
      <c r="A39" s="114" t="str">
        <f>'Sampling Data'!AI39</f>
        <v/>
      </c>
      <c r="B39" s="114" t="str">
        <f>'Sampling Data'!A39</f>
        <v>4941 SHAR 4-A   (ED)</v>
      </c>
      <c r="C39" s="114">
        <f>'Sampling Data'!B39</f>
        <v>109</v>
      </c>
      <c r="D39" s="114">
        <f>'Sampling Data'!C39</f>
        <v>202</v>
      </c>
      <c r="E39" s="115">
        <f>'Sampling Data'!D39</f>
        <v>0</v>
      </c>
      <c r="F39" s="115">
        <f>'Sampling Data'!E39</f>
        <v>0</v>
      </c>
      <c r="G39" s="115">
        <f>'Sampling Data'!F39</f>
        <v>0</v>
      </c>
      <c r="H39" s="115">
        <f>'Sampling Data'!G39</f>
        <v>0</v>
      </c>
      <c r="I39" s="115">
        <f>'Sampling Data'!H39</f>
        <v>0</v>
      </c>
      <c r="J39" s="115">
        <f>'Sampling Data'!I39</f>
        <v>0</v>
      </c>
      <c r="K39" s="115">
        <f>'Sampling Data'!J39</f>
        <v>0</v>
      </c>
      <c r="L39" s="115">
        <f>'Sampling Data'!K39</f>
        <v>0</v>
      </c>
      <c r="M39" s="115">
        <f>'Sampling Data'!L39</f>
        <v>0</v>
      </c>
      <c r="N39" s="115">
        <f>'Sampling Data'!M39</f>
        <v>0</v>
      </c>
      <c r="O39" s="114">
        <f>'Sampling Data'!N39</f>
        <v>0</v>
      </c>
      <c r="P39" s="114">
        <f>'Sampling Data'!O39</f>
        <v>0</v>
      </c>
      <c r="Q39" s="114">
        <f>'Sampling Data'!P39</f>
        <v>311</v>
      </c>
      <c r="R39" s="114">
        <f>'Sampling Data'!AJ39</f>
        <v>0</v>
      </c>
      <c r="S39" s="116"/>
      <c r="T39" s="116"/>
      <c r="U39" s="117"/>
      <c r="V39" s="117"/>
      <c r="W39" s="116"/>
      <c r="X39" s="116"/>
      <c r="Y39" s="116"/>
      <c r="Z39" s="116"/>
      <c r="AA39" s="15"/>
      <c r="AB39" s="15"/>
      <c r="AC39" s="15"/>
      <c r="AD39" s="15"/>
      <c r="AE39" s="118" t="str">
        <f>IF(NOT(ISBLANK(Audit[[#This Row],[Audit Winning Candidate]])), Audit[[#This Row],[Audit Winning Candidate]]-Audit[[#This Row],[Winning Candidate]], "")</f>
        <v/>
      </c>
      <c r="AF39" s="114" t="str">
        <f>IF(NOT(ISBLANK(Audit[[#This Row],[Audit Losing Candidate]])), Audit[[#This Row],[Audit Losing Candidate]]-Audit[[#This Row],[Losing Candidate]], "")</f>
        <v/>
      </c>
      <c r="AG39" s="114" t="str">
        <f>IF(NOT(ISBLANK(Audit[[#This Row],[Audit Candidate 3]])), Audit[[#This Row],[Audit Candidate 3]]-Audit[[#This Row],[Candidate 3]], "")</f>
        <v/>
      </c>
      <c r="AH39" s="114" t="str">
        <f>IF(NOT(ISBLANK(Audit[[#This Row],[Audit Candidate 4]])),Audit[[#This Row],[Audit Candidate 4]]-Audit[[#This Row],[Candidate 4]], "")</f>
        <v/>
      </c>
      <c r="AI39" s="114" t="str">
        <f>IF(NOT(ISBLANK(Audit[[#This Row],[Audit Candidate 5]])), Audit[[#This Row],[Audit Candidate 5]]-Audit[[#This Row],[Candidate 5]], "")</f>
        <v/>
      </c>
      <c r="AJ39" s="114" t="str">
        <f>IF(NOT(ISBLANK(Audit[[#This Row],[Audit Candidate 6]])), Audit[[#This Row],[Audit Candidate 6]]-Audit[[#This Row],[Candidate 6]], "")</f>
        <v/>
      </c>
      <c r="AK39" s="114" t="str">
        <f>IF(NOT(ISBLANK(Audit[[#This Row],[Audit Candidate 7]])), Audit[[#This Row],[Audit Candidate 7]]-Audit[[#This Row],[Candidate 7]], "")</f>
        <v/>
      </c>
      <c r="AL39" s="114" t="str">
        <f>IF(NOT(ISBLANK(Audit[[#This Row],[Audit Candidate 8]])), Audit[[#This Row],[Audit Candidate 8]]-Audit[[#This Row],[Candidate 8]], "")</f>
        <v/>
      </c>
      <c r="AM39" s="114" t="str">
        <f>IF(NOT(ISBLANK(Audit[[#This Row],[Audit Candidate 9]])), Audit[[#This Row],[Audit Candidate 9]]-Audit[[#This Row],[Candidate 9]], "")</f>
        <v/>
      </c>
      <c r="AN39" s="114" t="str">
        <f>IF(NOT(ISBLANK(Audit[[#This Row],[Audit Candidate 10]])), Audit[[#This Row],[Audit Candidate 10]]-Audit[[#This Row],[Candidate 10]], "")</f>
        <v/>
      </c>
      <c r="AO39" s="114" t="str">
        <f>IF(NOT(ISBLANK(Audit[[#This Row],[Audit Candidate 11]])), Audit[[#This Row],[Audit Candidate 11]]-Audit[[#This Row],[Candidate 11]], "")</f>
        <v/>
      </c>
      <c r="AP39" s="114" t="str">
        <f>IF(NOT(ISBLANK(Audit[[#This Row],[Audit Candidate 12]])), Audit[[#This Row],[Audit Candidate 12]]-Audit[[#This Row],[Candidate 12]], "")</f>
        <v/>
      </c>
      <c r="AQ39" s="114">
        <f>SUMIF(Audit[[#This Row],[Difference Winner]:[Difference Candidate 12]], "&gt;0")</f>
        <v>0</v>
      </c>
      <c r="AR39" s="114">
        <f>SUM(Audit[[#This Row],[Difference Winner]:[Difference Candidate 12]])</f>
        <v>0</v>
      </c>
      <c r="AS39" s="114">
        <f>IF(Audit[[#This Row],[Times p Drawn - With Replacement]]&gt;0, IF(Audit[[#This Row],[Canceled Differences]]&lt;0, Audit[[#This Row],[Max Differences]]+ABS(Audit[[#This Row],[Canceled Differences]]), Audit[[#This Row],[Max Differences]]), 0)</f>
        <v>0</v>
      </c>
      <c r="AT39" s="114">
        <f>'Sampling Data'!AB39</f>
        <v>0.46088794926004228</v>
      </c>
      <c r="AU39" s="114">
        <f>IF(
      SUM(Audit[[#This Row],[Audit Losing Candidate]:[Audit Candidate 12]])
      &lt;&gt;0,
      (Audit[[#This Row],[Winning Candidate]]-Audit[[#This Row],[Losing Candidate]]-(Audit[[#This Row],[Audit Winning Candidate]]-Audit[[#This Row],[Audit Losing Candidate]]))/(Audit[[#Totals],[Winning Candidate]]-Audit[[#Totals],[Losing Candidate]]),
      0
)</f>
        <v>0</v>
      </c>
      <c r="AV3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3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3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3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3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3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3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3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3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3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3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39" s="114">
        <f>IF(Audit[[#This Row],[Max Relative Error (ep)]] = 0, 0, Audit[[#This Row],[Max Relative Error (ep)]]/Audit[[#This Row],[Error Bound (up) - Max. possible relative overstatement]])</f>
        <v>0</v>
      </c>
      <c r="BH3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39" s="114">
        <f t="shared" si="1"/>
        <v>1</v>
      </c>
      <c r="BJ39" s="114">
        <f>PRODUCT($BI$5:BI39)</f>
        <v>0.36242033224732195</v>
      </c>
      <c r="BK39" s="112">
        <f>1 - Audit[[#This Row],[K-M P Value]]</f>
        <v>0.63757966775267805</v>
      </c>
      <c r="BL39" s="114" t="str">
        <f>IF(Audit[[#This Row],[K-M P Value]]&gt;1-'General Info'!$B$12,"Continue", "Stop")</f>
        <v>Continue</v>
      </c>
      <c r="BM39" s="113" t="b">
        <f>IF(Audit[[#This Row],[Status - Continue or stop audit]] = "Continue", TRUE, IF(BL38 = "Continue", TRUE, FALSE))</f>
        <v>1</v>
      </c>
      <c r="BN39" s="113"/>
    </row>
    <row r="40" spans="1:66" ht="15" customHeight="1" x14ac:dyDescent="0.35">
      <c r="A40" s="114">
        <f>'Sampling Data'!AI40</f>
        <v>17</v>
      </c>
      <c r="B40" s="114" t="str">
        <f>'Sampling Data'!A40</f>
        <v>4942 SHAR 4-B   (ED)</v>
      </c>
      <c r="C40" s="114">
        <f>'Sampling Data'!B40</f>
        <v>166</v>
      </c>
      <c r="D40" s="114">
        <f>'Sampling Data'!C40</f>
        <v>214</v>
      </c>
      <c r="E40" s="115">
        <f>'Sampling Data'!D40</f>
        <v>0</v>
      </c>
      <c r="F40" s="115">
        <f>'Sampling Data'!E40</f>
        <v>0</v>
      </c>
      <c r="G40" s="115">
        <f>'Sampling Data'!F40</f>
        <v>0</v>
      </c>
      <c r="H40" s="115">
        <f>'Sampling Data'!G40</f>
        <v>0</v>
      </c>
      <c r="I40" s="115">
        <f>'Sampling Data'!H40</f>
        <v>0</v>
      </c>
      <c r="J40" s="115">
        <f>'Sampling Data'!I40</f>
        <v>0</v>
      </c>
      <c r="K40" s="115">
        <f>'Sampling Data'!J40</f>
        <v>0</v>
      </c>
      <c r="L40" s="115">
        <f>'Sampling Data'!K40</f>
        <v>0</v>
      </c>
      <c r="M40" s="115">
        <f>'Sampling Data'!L40</f>
        <v>0</v>
      </c>
      <c r="N40" s="115">
        <f>'Sampling Data'!M40</f>
        <v>0</v>
      </c>
      <c r="O40" s="114">
        <f>'Sampling Data'!N40</f>
        <v>0</v>
      </c>
      <c r="P40" s="114">
        <f>'Sampling Data'!O40</f>
        <v>3</v>
      </c>
      <c r="Q40" s="114">
        <f>'Sampling Data'!P40</f>
        <v>383</v>
      </c>
      <c r="R40" s="114">
        <f>'Sampling Data'!AJ40</f>
        <v>1</v>
      </c>
      <c r="S40" s="116">
        <v>166</v>
      </c>
      <c r="T40" s="116">
        <v>214</v>
      </c>
      <c r="U40" s="117"/>
      <c r="V40" s="117"/>
      <c r="W40" s="116"/>
      <c r="X40" s="116"/>
      <c r="Y40" s="116"/>
      <c r="Z40" s="116"/>
      <c r="AA40" s="15"/>
      <c r="AB40" s="15"/>
      <c r="AC40" s="15"/>
      <c r="AD40" s="15"/>
      <c r="AE40" s="118">
        <f>IF(NOT(ISBLANK(Audit[[#This Row],[Audit Winning Candidate]])), Audit[[#This Row],[Audit Winning Candidate]]-Audit[[#This Row],[Winning Candidate]], "")</f>
        <v>0</v>
      </c>
      <c r="AF40" s="114">
        <f>IF(NOT(ISBLANK(Audit[[#This Row],[Audit Losing Candidate]])), Audit[[#This Row],[Audit Losing Candidate]]-Audit[[#This Row],[Losing Candidate]], "")</f>
        <v>0</v>
      </c>
      <c r="AG40" s="114" t="str">
        <f>IF(NOT(ISBLANK(Audit[[#This Row],[Audit Candidate 3]])), Audit[[#This Row],[Audit Candidate 3]]-Audit[[#This Row],[Candidate 3]], "")</f>
        <v/>
      </c>
      <c r="AH40" s="114" t="str">
        <f>IF(NOT(ISBLANK(Audit[[#This Row],[Audit Candidate 4]])),Audit[[#This Row],[Audit Candidate 4]]-Audit[[#This Row],[Candidate 4]], "")</f>
        <v/>
      </c>
      <c r="AI40" s="114" t="str">
        <f>IF(NOT(ISBLANK(Audit[[#This Row],[Audit Candidate 5]])), Audit[[#This Row],[Audit Candidate 5]]-Audit[[#This Row],[Candidate 5]], "")</f>
        <v/>
      </c>
      <c r="AJ40" s="114" t="str">
        <f>IF(NOT(ISBLANK(Audit[[#This Row],[Audit Candidate 6]])), Audit[[#This Row],[Audit Candidate 6]]-Audit[[#This Row],[Candidate 6]], "")</f>
        <v/>
      </c>
      <c r="AK40" s="114" t="str">
        <f>IF(NOT(ISBLANK(Audit[[#This Row],[Audit Candidate 7]])), Audit[[#This Row],[Audit Candidate 7]]-Audit[[#This Row],[Candidate 7]], "")</f>
        <v/>
      </c>
      <c r="AL40" s="114" t="str">
        <f>IF(NOT(ISBLANK(Audit[[#This Row],[Audit Candidate 8]])), Audit[[#This Row],[Audit Candidate 8]]-Audit[[#This Row],[Candidate 8]], "")</f>
        <v/>
      </c>
      <c r="AM40" s="114" t="str">
        <f>IF(NOT(ISBLANK(Audit[[#This Row],[Audit Candidate 9]])), Audit[[#This Row],[Audit Candidate 9]]-Audit[[#This Row],[Candidate 9]], "")</f>
        <v/>
      </c>
      <c r="AN40" s="114" t="str">
        <f>IF(NOT(ISBLANK(Audit[[#This Row],[Audit Candidate 10]])), Audit[[#This Row],[Audit Candidate 10]]-Audit[[#This Row],[Candidate 10]], "")</f>
        <v/>
      </c>
      <c r="AO40" s="114" t="str">
        <f>IF(NOT(ISBLANK(Audit[[#This Row],[Audit Candidate 11]])), Audit[[#This Row],[Audit Candidate 11]]-Audit[[#This Row],[Candidate 11]], "")</f>
        <v/>
      </c>
      <c r="AP40" s="114" t="str">
        <f>IF(NOT(ISBLANK(Audit[[#This Row],[Audit Candidate 12]])), Audit[[#This Row],[Audit Candidate 12]]-Audit[[#This Row],[Candidate 12]], "")</f>
        <v/>
      </c>
      <c r="AQ40" s="114">
        <f>SUMIF(Audit[[#This Row],[Difference Winner]:[Difference Candidate 12]], "&gt;0")</f>
        <v>0</v>
      </c>
      <c r="AR40" s="114">
        <f>SUM(Audit[[#This Row],[Difference Winner]:[Difference Candidate 12]])</f>
        <v>0</v>
      </c>
      <c r="AS40" s="114">
        <f>IF(Audit[[#This Row],[Times p Drawn - With Replacement]]&gt;0, IF(Audit[[#This Row],[Canceled Differences]]&lt;0, Audit[[#This Row],[Max Differences]]+ABS(Audit[[#This Row],[Canceled Differences]]), Audit[[#This Row],[Max Differences]]), 0)</f>
        <v>0</v>
      </c>
      <c r="AT40" s="114">
        <f>'Sampling Data'!AB40</f>
        <v>0.70824524312896409</v>
      </c>
      <c r="AU40" s="114">
        <f>IF(
      SUM(Audit[[#This Row],[Audit Losing Candidate]:[Audit Candidate 12]])
      &lt;&gt;0,
      (Audit[[#This Row],[Winning Candidate]]-Audit[[#This Row],[Losing Candidate]]-(Audit[[#This Row],[Audit Winning Candidate]]-Audit[[#This Row],[Audit Losing Candidate]]))/(Audit[[#Totals],[Winning Candidate]]-Audit[[#Totals],[Losing Candidate]]),
      0
)</f>
        <v>0</v>
      </c>
      <c r="AV4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0" s="114">
        <f>IF(Audit[[#This Row],[Max Relative Error (ep)]] = 0, 0, Audit[[#This Row],[Max Relative Error (ep)]]/Audit[[#This Row],[Error Bound (up) - Max. possible relative overstatement]])</f>
        <v>0</v>
      </c>
      <c r="BH4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40" s="114">
        <f t="shared" si="1"/>
        <v>0.92489679263258173</v>
      </c>
      <c r="BJ40" s="114">
        <f>PRODUCT($BI$5:BI40)</f>
        <v>0.33520140288038269</v>
      </c>
      <c r="BK40" s="112">
        <f>1 - Audit[[#This Row],[K-M P Value]]</f>
        <v>0.66479859711961731</v>
      </c>
      <c r="BL40" s="114" t="str">
        <f>IF(Audit[[#This Row],[K-M P Value]]&gt;1-'General Info'!$B$12,"Continue", "Stop")</f>
        <v>Continue</v>
      </c>
      <c r="BM40" s="113" t="b">
        <f>IF(Audit[[#This Row],[Status - Continue or stop audit]] = "Continue", TRUE, IF(BL39 = "Continue", TRUE, FALSE))</f>
        <v>1</v>
      </c>
      <c r="BN40" s="113"/>
    </row>
    <row r="41" spans="1:66" ht="15" customHeight="1" x14ac:dyDescent="0.35">
      <c r="A41" s="114">
        <f>'Sampling Data'!AI41</f>
        <v>22</v>
      </c>
      <c r="B41" s="114" t="str">
        <f>'Sampling Data'!A41</f>
        <v>5201 SPDALE A   (ED)</v>
      </c>
      <c r="C41" s="114">
        <f>'Sampling Data'!B41</f>
        <v>152</v>
      </c>
      <c r="D41" s="114">
        <f>'Sampling Data'!C41</f>
        <v>48</v>
      </c>
      <c r="E41" s="115">
        <f>'Sampling Data'!D41</f>
        <v>0</v>
      </c>
      <c r="F41" s="115">
        <f>'Sampling Data'!E41</f>
        <v>0</v>
      </c>
      <c r="G41" s="115">
        <f>'Sampling Data'!F41</f>
        <v>0</v>
      </c>
      <c r="H41" s="115">
        <f>'Sampling Data'!G41</f>
        <v>0</v>
      </c>
      <c r="I41" s="115">
        <f>'Sampling Data'!H41</f>
        <v>0</v>
      </c>
      <c r="J41" s="115">
        <f>'Sampling Data'!I41</f>
        <v>0</v>
      </c>
      <c r="K41" s="115">
        <f>'Sampling Data'!J41</f>
        <v>0</v>
      </c>
      <c r="L41" s="115">
        <f>'Sampling Data'!K41</f>
        <v>0</v>
      </c>
      <c r="M41" s="115">
        <f>'Sampling Data'!L41</f>
        <v>0</v>
      </c>
      <c r="N41" s="115">
        <f>'Sampling Data'!M41</f>
        <v>0</v>
      </c>
      <c r="O41" s="114">
        <f>'Sampling Data'!N41</f>
        <v>0</v>
      </c>
      <c r="P41" s="114">
        <f>'Sampling Data'!O41</f>
        <v>1</v>
      </c>
      <c r="Q41" s="114">
        <f>'Sampling Data'!P41</f>
        <v>201</v>
      </c>
      <c r="R41" s="114">
        <f>'Sampling Data'!AJ41</f>
        <v>1</v>
      </c>
      <c r="S41" s="116">
        <v>152</v>
      </c>
      <c r="T41" s="116">
        <v>48</v>
      </c>
      <c r="U41" s="117"/>
      <c r="V41" s="117"/>
      <c r="W41" s="116"/>
      <c r="X41" s="116"/>
      <c r="Y41" s="116"/>
      <c r="Z41" s="116"/>
      <c r="AA41" s="15"/>
      <c r="AB41" s="15"/>
      <c r="AC41" s="15"/>
      <c r="AD41" s="15"/>
      <c r="AE41" s="118">
        <f>IF(NOT(ISBLANK(Audit[[#This Row],[Audit Winning Candidate]])), Audit[[#This Row],[Audit Winning Candidate]]-Audit[[#This Row],[Winning Candidate]], "")</f>
        <v>0</v>
      </c>
      <c r="AF41" s="114">
        <f>IF(NOT(ISBLANK(Audit[[#This Row],[Audit Losing Candidate]])), Audit[[#This Row],[Audit Losing Candidate]]-Audit[[#This Row],[Losing Candidate]], "")</f>
        <v>0</v>
      </c>
      <c r="AG41" s="114" t="str">
        <f>IF(NOT(ISBLANK(Audit[[#This Row],[Audit Candidate 3]])), Audit[[#This Row],[Audit Candidate 3]]-Audit[[#This Row],[Candidate 3]], "")</f>
        <v/>
      </c>
      <c r="AH41" s="114" t="str">
        <f>IF(NOT(ISBLANK(Audit[[#This Row],[Audit Candidate 4]])),Audit[[#This Row],[Audit Candidate 4]]-Audit[[#This Row],[Candidate 4]], "")</f>
        <v/>
      </c>
      <c r="AI41" s="114" t="str">
        <f>IF(NOT(ISBLANK(Audit[[#This Row],[Audit Candidate 5]])), Audit[[#This Row],[Audit Candidate 5]]-Audit[[#This Row],[Candidate 5]], "")</f>
        <v/>
      </c>
      <c r="AJ41" s="114" t="str">
        <f>IF(NOT(ISBLANK(Audit[[#This Row],[Audit Candidate 6]])), Audit[[#This Row],[Audit Candidate 6]]-Audit[[#This Row],[Candidate 6]], "")</f>
        <v/>
      </c>
      <c r="AK41" s="114" t="str">
        <f>IF(NOT(ISBLANK(Audit[[#This Row],[Audit Candidate 7]])), Audit[[#This Row],[Audit Candidate 7]]-Audit[[#This Row],[Candidate 7]], "")</f>
        <v/>
      </c>
      <c r="AL41" s="114" t="str">
        <f>IF(NOT(ISBLANK(Audit[[#This Row],[Audit Candidate 8]])), Audit[[#This Row],[Audit Candidate 8]]-Audit[[#This Row],[Candidate 8]], "")</f>
        <v/>
      </c>
      <c r="AM41" s="114" t="str">
        <f>IF(NOT(ISBLANK(Audit[[#This Row],[Audit Candidate 9]])), Audit[[#This Row],[Audit Candidate 9]]-Audit[[#This Row],[Candidate 9]], "")</f>
        <v/>
      </c>
      <c r="AN41" s="114" t="str">
        <f>IF(NOT(ISBLANK(Audit[[#This Row],[Audit Candidate 10]])), Audit[[#This Row],[Audit Candidate 10]]-Audit[[#This Row],[Candidate 10]], "")</f>
        <v/>
      </c>
      <c r="AO41" s="114" t="str">
        <f>IF(NOT(ISBLANK(Audit[[#This Row],[Audit Candidate 11]])), Audit[[#This Row],[Audit Candidate 11]]-Audit[[#This Row],[Candidate 11]], "")</f>
        <v/>
      </c>
      <c r="AP41" s="114" t="str">
        <f>IF(NOT(ISBLANK(Audit[[#This Row],[Audit Candidate 12]])), Audit[[#This Row],[Audit Candidate 12]]-Audit[[#This Row],[Candidate 12]], "")</f>
        <v/>
      </c>
      <c r="AQ41" s="114">
        <f>SUMIF(Audit[[#This Row],[Difference Winner]:[Difference Candidate 12]], "&gt;0")</f>
        <v>0</v>
      </c>
      <c r="AR41" s="114">
        <f>SUM(Audit[[#This Row],[Difference Winner]:[Difference Candidate 12]])</f>
        <v>0</v>
      </c>
      <c r="AS41" s="114">
        <f>IF(Audit[[#This Row],[Times p Drawn - With Replacement]]&gt;0, IF(Audit[[#This Row],[Canceled Differences]]&lt;0, Audit[[#This Row],[Max Differences]]+ABS(Audit[[#This Row],[Canceled Differences]]), Audit[[#This Row],[Max Differences]]), 0)</f>
        <v>0</v>
      </c>
      <c r="AT41" s="114">
        <f>'Sampling Data'!AB41</f>
        <v>0.64482029598308666</v>
      </c>
      <c r="AU41" s="114">
        <f>IF(
      SUM(Audit[[#This Row],[Audit Losing Candidate]:[Audit Candidate 12]])
      &lt;&gt;0,
      (Audit[[#This Row],[Winning Candidate]]-Audit[[#This Row],[Losing Candidate]]-(Audit[[#This Row],[Audit Winning Candidate]]-Audit[[#This Row],[Audit Losing Candidate]]))/(Audit[[#Totals],[Winning Candidate]]-Audit[[#Totals],[Losing Candidate]]),
      0
)</f>
        <v>0</v>
      </c>
      <c r="AV4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1" s="114">
        <f>IF(Audit[[#This Row],[Max Relative Error (ep)]] = 0, 0, Audit[[#This Row],[Max Relative Error (ep)]]/Audit[[#This Row],[Error Bound (up) - Max. possible relative overstatement]])</f>
        <v>0</v>
      </c>
      <c r="BH4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41" s="114">
        <f t="shared" si="1"/>
        <v>0.92489679263258173</v>
      </c>
      <c r="BJ41" s="114">
        <f>PRODUCT($BI$5:BI41)</f>
        <v>0.31002670241000779</v>
      </c>
      <c r="BK41" s="112">
        <f>1 - Audit[[#This Row],[K-M P Value]]</f>
        <v>0.68997329758999215</v>
      </c>
      <c r="BL41" s="114" t="str">
        <f>IF(Audit[[#This Row],[K-M P Value]]&gt;1-'General Info'!$B$12,"Continue", "Stop")</f>
        <v>Continue</v>
      </c>
      <c r="BM41" s="113" t="b">
        <f>IF(Audit[[#This Row],[Status - Continue or stop audit]] = "Continue", TRUE, IF(BL40 = "Continue", TRUE, FALSE))</f>
        <v>1</v>
      </c>
      <c r="BN41" s="113"/>
    </row>
    <row r="42" spans="1:66" ht="15" customHeight="1" x14ac:dyDescent="0.35">
      <c r="A42" s="114">
        <f>'Sampling Data'!AI42</f>
        <v>7</v>
      </c>
      <c r="B42" s="114" t="str">
        <f>'Sampling Data'!A42</f>
        <v>5202 SPDALE B   (ED)</v>
      </c>
      <c r="C42" s="114">
        <f>'Sampling Data'!B42</f>
        <v>135</v>
      </c>
      <c r="D42" s="114">
        <f>'Sampling Data'!C42</f>
        <v>55</v>
      </c>
      <c r="E42" s="115">
        <f>'Sampling Data'!D42</f>
        <v>0</v>
      </c>
      <c r="F42" s="115">
        <f>'Sampling Data'!E42</f>
        <v>0</v>
      </c>
      <c r="G42" s="115">
        <f>'Sampling Data'!F42</f>
        <v>0</v>
      </c>
      <c r="H42" s="115">
        <f>'Sampling Data'!G42</f>
        <v>0</v>
      </c>
      <c r="I42" s="115">
        <f>'Sampling Data'!H42</f>
        <v>0</v>
      </c>
      <c r="J42" s="115">
        <f>'Sampling Data'!I42</f>
        <v>0</v>
      </c>
      <c r="K42" s="115">
        <f>'Sampling Data'!J42</f>
        <v>0</v>
      </c>
      <c r="L42" s="115">
        <f>'Sampling Data'!K42</f>
        <v>0</v>
      </c>
      <c r="M42" s="115">
        <f>'Sampling Data'!L42</f>
        <v>0</v>
      </c>
      <c r="N42" s="115">
        <f>'Sampling Data'!M42</f>
        <v>0</v>
      </c>
      <c r="O42" s="114">
        <f>'Sampling Data'!N42</f>
        <v>0</v>
      </c>
      <c r="P42" s="114">
        <f>'Sampling Data'!O42</f>
        <v>0</v>
      </c>
      <c r="Q42" s="114">
        <f>'Sampling Data'!P42</f>
        <v>190</v>
      </c>
      <c r="R42" s="114">
        <f>'Sampling Data'!AJ42</f>
        <v>3</v>
      </c>
      <c r="S42" s="116">
        <v>135</v>
      </c>
      <c r="T42" s="116">
        <v>55</v>
      </c>
      <c r="U42" s="117"/>
      <c r="V42" s="117"/>
      <c r="W42" s="116"/>
      <c r="X42" s="116"/>
      <c r="Y42" s="116"/>
      <c r="Z42" s="116"/>
      <c r="AA42" s="15"/>
      <c r="AB42" s="15"/>
      <c r="AC42" s="15"/>
      <c r="AD42" s="15"/>
      <c r="AE42" s="118">
        <f>IF(NOT(ISBLANK(Audit[[#This Row],[Audit Winning Candidate]])), Audit[[#This Row],[Audit Winning Candidate]]-Audit[[#This Row],[Winning Candidate]], "")</f>
        <v>0</v>
      </c>
      <c r="AF42" s="114">
        <f>IF(NOT(ISBLANK(Audit[[#This Row],[Audit Losing Candidate]])), Audit[[#This Row],[Audit Losing Candidate]]-Audit[[#This Row],[Losing Candidate]], "")</f>
        <v>0</v>
      </c>
      <c r="AG42" s="114" t="str">
        <f>IF(NOT(ISBLANK(Audit[[#This Row],[Audit Candidate 3]])), Audit[[#This Row],[Audit Candidate 3]]-Audit[[#This Row],[Candidate 3]], "")</f>
        <v/>
      </c>
      <c r="AH42" s="114" t="str">
        <f>IF(NOT(ISBLANK(Audit[[#This Row],[Audit Candidate 4]])),Audit[[#This Row],[Audit Candidate 4]]-Audit[[#This Row],[Candidate 4]], "")</f>
        <v/>
      </c>
      <c r="AI42" s="114" t="str">
        <f>IF(NOT(ISBLANK(Audit[[#This Row],[Audit Candidate 5]])), Audit[[#This Row],[Audit Candidate 5]]-Audit[[#This Row],[Candidate 5]], "")</f>
        <v/>
      </c>
      <c r="AJ42" s="114" t="str">
        <f>IF(NOT(ISBLANK(Audit[[#This Row],[Audit Candidate 6]])), Audit[[#This Row],[Audit Candidate 6]]-Audit[[#This Row],[Candidate 6]], "")</f>
        <v/>
      </c>
      <c r="AK42" s="114" t="str">
        <f>IF(NOT(ISBLANK(Audit[[#This Row],[Audit Candidate 7]])), Audit[[#This Row],[Audit Candidate 7]]-Audit[[#This Row],[Candidate 7]], "")</f>
        <v/>
      </c>
      <c r="AL42" s="114" t="str">
        <f>IF(NOT(ISBLANK(Audit[[#This Row],[Audit Candidate 8]])), Audit[[#This Row],[Audit Candidate 8]]-Audit[[#This Row],[Candidate 8]], "")</f>
        <v/>
      </c>
      <c r="AM42" s="114" t="str">
        <f>IF(NOT(ISBLANK(Audit[[#This Row],[Audit Candidate 9]])), Audit[[#This Row],[Audit Candidate 9]]-Audit[[#This Row],[Candidate 9]], "")</f>
        <v/>
      </c>
      <c r="AN42" s="114" t="str">
        <f>IF(NOT(ISBLANK(Audit[[#This Row],[Audit Candidate 10]])), Audit[[#This Row],[Audit Candidate 10]]-Audit[[#This Row],[Candidate 10]], "")</f>
        <v/>
      </c>
      <c r="AO42" s="114" t="str">
        <f>IF(NOT(ISBLANK(Audit[[#This Row],[Audit Candidate 11]])), Audit[[#This Row],[Audit Candidate 11]]-Audit[[#This Row],[Candidate 11]], "")</f>
        <v/>
      </c>
      <c r="AP42" s="114" t="str">
        <f>IF(NOT(ISBLANK(Audit[[#This Row],[Audit Candidate 12]])), Audit[[#This Row],[Audit Candidate 12]]-Audit[[#This Row],[Candidate 12]], "")</f>
        <v/>
      </c>
      <c r="AQ42" s="114">
        <f>SUMIF(Audit[[#This Row],[Difference Winner]:[Difference Candidate 12]], "&gt;0")</f>
        <v>0</v>
      </c>
      <c r="AR42" s="114">
        <f>SUM(Audit[[#This Row],[Difference Winner]:[Difference Candidate 12]])</f>
        <v>0</v>
      </c>
      <c r="AS42" s="114">
        <f>IF(Audit[[#This Row],[Times p Drawn - With Replacement]]&gt;0, IF(Audit[[#This Row],[Canceled Differences]]&lt;0, Audit[[#This Row],[Max Differences]]+ABS(Audit[[#This Row],[Canceled Differences]]), Audit[[#This Row],[Max Differences]]), 0)</f>
        <v>0</v>
      </c>
      <c r="AT42" s="114">
        <f>'Sampling Data'!AB42</f>
        <v>0.57082452431289643</v>
      </c>
      <c r="AU42" s="114">
        <f>IF(
      SUM(Audit[[#This Row],[Audit Losing Candidate]:[Audit Candidate 12]])
      &lt;&gt;0,
      (Audit[[#This Row],[Winning Candidate]]-Audit[[#This Row],[Losing Candidate]]-(Audit[[#This Row],[Audit Winning Candidate]]-Audit[[#This Row],[Audit Losing Candidate]]))/(Audit[[#Totals],[Winning Candidate]]-Audit[[#Totals],[Losing Candidate]]),
      0
)</f>
        <v>0</v>
      </c>
      <c r="AV4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2" s="114">
        <f>IF(Audit[[#This Row],[Max Relative Error (ep)]] = 0, 0, Audit[[#This Row],[Max Relative Error (ep)]]/Audit[[#This Row],[Error Bound (up) - Max. possible relative overstatement]])</f>
        <v>0</v>
      </c>
      <c r="BH4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42" s="114">
        <f t="shared" si="1"/>
        <v>0.7911882341462948</v>
      </c>
      <c r="BJ42" s="114">
        <f>PRODUCT($BI$5:BI42)</f>
        <v>0.24528947921797289</v>
      </c>
      <c r="BK42" s="112">
        <f>1 - Audit[[#This Row],[K-M P Value]]</f>
        <v>0.75471052078202705</v>
      </c>
      <c r="BL42" s="114" t="str">
        <f>IF(Audit[[#This Row],[K-M P Value]]&gt;1-'General Info'!$B$12,"Continue", "Stop")</f>
        <v>Continue</v>
      </c>
      <c r="BM42" s="113" t="b">
        <f>IF(Audit[[#This Row],[Status - Continue or stop audit]] = "Continue", TRUE, IF(BL41 = "Continue", TRUE, FALSE))</f>
        <v>1</v>
      </c>
      <c r="BN42" s="113"/>
    </row>
    <row r="43" spans="1:66" ht="15" hidden="1" customHeight="1" x14ac:dyDescent="0.35">
      <c r="A43" s="114" t="str">
        <f>'Sampling Data'!AI43</f>
        <v/>
      </c>
      <c r="B43" s="114" t="str">
        <f>'Sampling Data'!A43</f>
        <v>5203 SPDALE C   (ED)</v>
      </c>
      <c r="C43" s="114">
        <f>'Sampling Data'!B43</f>
        <v>90</v>
      </c>
      <c r="D43" s="114">
        <f>'Sampling Data'!C43</f>
        <v>23</v>
      </c>
      <c r="E43" s="115">
        <f>'Sampling Data'!D43</f>
        <v>0</v>
      </c>
      <c r="F43" s="115">
        <f>'Sampling Data'!E43</f>
        <v>0</v>
      </c>
      <c r="G43" s="115">
        <f>'Sampling Data'!F43</f>
        <v>0</v>
      </c>
      <c r="H43" s="115">
        <f>'Sampling Data'!G43</f>
        <v>0</v>
      </c>
      <c r="I43" s="115">
        <f>'Sampling Data'!H43</f>
        <v>0</v>
      </c>
      <c r="J43" s="115">
        <f>'Sampling Data'!I43</f>
        <v>0</v>
      </c>
      <c r="K43" s="115">
        <f>'Sampling Data'!J43</f>
        <v>0</v>
      </c>
      <c r="L43" s="115">
        <f>'Sampling Data'!K43</f>
        <v>0</v>
      </c>
      <c r="M43" s="115">
        <f>'Sampling Data'!L43</f>
        <v>0</v>
      </c>
      <c r="N43" s="115">
        <f>'Sampling Data'!M43</f>
        <v>0</v>
      </c>
      <c r="O43" s="114">
        <f>'Sampling Data'!N43</f>
        <v>0</v>
      </c>
      <c r="P43" s="114">
        <f>'Sampling Data'!O43</f>
        <v>0</v>
      </c>
      <c r="Q43" s="114">
        <f>'Sampling Data'!P43</f>
        <v>113</v>
      </c>
      <c r="R43" s="114">
        <f>'Sampling Data'!AJ43</f>
        <v>0</v>
      </c>
      <c r="S43" s="116"/>
      <c r="T43" s="116"/>
      <c r="U43" s="117"/>
      <c r="V43" s="117"/>
      <c r="W43" s="116"/>
      <c r="X43" s="116"/>
      <c r="Y43" s="116"/>
      <c r="Z43" s="116"/>
      <c r="AA43" s="15"/>
      <c r="AB43" s="15"/>
      <c r="AC43" s="15"/>
      <c r="AD43" s="15"/>
      <c r="AE43" s="118" t="str">
        <f>IF(NOT(ISBLANK(Audit[[#This Row],[Audit Winning Candidate]])), Audit[[#This Row],[Audit Winning Candidate]]-Audit[[#This Row],[Winning Candidate]], "")</f>
        <v/>
      </c>
      <c r="AF43" s="114" t="str">
        <f>IF(NOT(ISBLANK(Audit[[#This Row],[Audit Losing Candidate]])), Audit[[#This Row],[Audit Losing Candidate]]-Audit[[#This Row],[Losing Candidate]], "")</f>
        <v/>
      </c>
      <c r="AG43" s="114" t="str">
        <f>IF(NOT(ISBLANK(Audit[[#This Row],[Audit Candidate 3]])), Audit[[#This Row],[Audit Candidate 3]]-Audit[[#This Row],[Candidate 3]], "")</f>
        <v/>
      </c>
      <c r="AH43" s="114" t="str">
        <f>IF(NOT(ISBLANK(Audit[[#This Row],[Audit Candidate 4]])),Audit[[#This Row],[Audit Candidate 4]]-Audit[[#This Row],[Candidate 4]], "")</f>
        <v/>
      </c>
      <c r="AI43" s="114" t="str">
        <f>IF(NOT(ISBLANK(Audit[[#This Row],[Audit Candidate 5]])), Audit[[#This Row],[Audit Candidate 5]]-Audit[[#This Row],[Candidate 5]], "")</f>
        <v/>
      </c>
      <c r="AJ43" s="114" t="str">
        <f>IF(NOT(ISBLANK(Audit[[#This Row],[Audit Candidate 6]])), Audit[[#This Row],[Audit Candidate 6]]-Audit[[#This Row],[Candidate 6]], "")</f>
        <v/>
      </c>
      <c r="AK43" s="114" t="str">
        <f>IF(NOT(ISBLANK(Audit[[#This Row],[Audit Candidate 7]])), Audit[[#This Row],[Audit Candidate 7]]-Audit[[#This Row],[Candidate 7]], "")</f>
        <v/>
      </c>
      <c r="AL43" s="114" t="str">
        <f>IF(NOT(ISBLANK(Audit[[#This Row],[Audit Candidate 8]])), Audit[[#This Row],[Audit Candidate 8]]-Audit[[#This Row],[Candidate 8]], "")</f>
        <v/>
      </c>
      <c r="AM43" s="114" t="str">
        <f>IF(NOT(ISBLANK(Audit[[#This Row],[Audit Candidate 9]])), Audit[[#This Row],[Audit Candidate 9]]-Audit[[#This Row],[Candidate 9]], "")</f>
        <v/>
      </c>
      <c r="AN43" s="114" t="str">
        <f>IF(NOT(ISBLANK(Audit[[#This Row],[Audit Candidate 10]])), Audit[[#This Row],[Audit Candidate 10]]-Audit[[#This Row],[Candidate 10]], "")</f>
        <v/>
      </c>
      <c r="AO43" s="114" t="str">
        <f>IF(NOT(ISBLANK(Audit[[#This Row],[Audit Candidate 11]])), Audit[[#This Row],[Audit Candidate 11]]-Audit[[#This Row],[Candidate 11]], "")</f>
        <v/>
      </c>
      <c r="AP43" s="114" t="str">
        <f>IF(NOT(ISBLANK(Audit[[#This Row],[Audit Candidate 12]])), Audit[[#This Row],[Audit Candidate 12]]-Audit[[#This Row],[Candidate 12]], "")</f>
        <v/>
      </c>
      <c r="AQ43" s="114">
        <f>SUMIF(Audit[[#This Row],[Difference Winner]:[Difference Candidate 12]], "&gt;0")</f>
        <v>0</v>
      </c>
      <c r="AR43" s="114">
        <f>SUM(Audit[[#This Row],[Difference Winner]:[Difference Candidate 12]])</f>
        <v>0</v>
      </c>
      <c r="AS43" s="114">
        <f>IF(Audit[[#This Row],[Times p Drawn - With Replacement]]&gt;0, IF(Audit[[#This Row],[Canceled Differences]]&lt;0, Audit[[#This Row],[Max Differences]]+ABS(Audit[[#This Row],[Canceled Differences]]), Audit[[#This Row],[Max Differences]]), 0)</f>
        <v>0</v>
      </c>
      <c r="AT43" s="114">
        <f>'Sampling Data'!AB43</f>
        <v>0.38054968287526425</v>
      </c>
      <c r="AU43" s="114">
        <f>IF(
      SUM(Audit[[#This Row],[Audit Losing Candidate]:[Audit Candidate 12]])
      &lt;&gt;0,
      (Audit[[#This Row],[Winning Candidate]]-Audit[[#This Row],[Losing Candidate]]-(Audit[[#This Row],[Audit Winning Candidate]]-Audit[[#This Row],[Audit Losing Candidate]]))/(Audit[[#Totals],[Winning Candidate]]-Audit[[#Totals],[Losing Candidate]]),
      0
)</f>
        <v>0</v>
      </c>
      <c r="AV4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3" s="114">
        <f>IF(Audit[[#This Row],[Max Relative Error (ep)]] = 0, 0, Audit[[#This Row],[Max Relative Error (ep)]]/Audit[[#This Row],[Error Bound (up) - Max. possible relative overstatement]])</f>
        <v>0</v>
      </c>
      <c r="BH4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43" s="114">
        <f t="shared" si="1"/>
        <v>1</v>
      </c>
      <c r="BJ43" s="114">
        <f>PRODUCT($BI$5:BI43)</f>
        <v>0.24528947921797289</v>
      </c>
      <c r="BK43" s="112">
        <f>1 - Audit[[#This Row],[K-M P Value]]</f>
        <v>0.75471052078202705</v>
      </c>
      <c r="BL43" s="114" t="str">
        <f>IF(Audit[[#This Row],[K-M P Value]]&gt;1-'General Info'!$B$12,"Continue", "Stop")</f>
        <v>Continue</v>
      </c>
      <c r="BM43" s="113" t="b">
        <f>IF(Audit[[#This Row],[Status - Continue or stop audit]] = "Continue", TRUE, IF(BL42 = "Continue", TRUE, FALSE))</f>
        <v>1</v>
      </c>
      <c r="BN43" s="113"/>
    </row>
    <row r="44" spans="1:66" ht="15" customHeight="1" x14ac:dyDescent="0.35">
      <c r="A44" s="114">
        <f>'Sampling Data'!AI44</f>
        <v>12</v>
      </c>
      <c r="B44" s="114" t="str">
        <f>'Sampling Data'!A44</f>
        <v>5204 SPDALE D   (ED)</v>
      </c>
      <c r="C44" s="114">
        <f>'Sampling Data'!B44</f>
        <v>76</v>
      </c>
      <c r="D44" s="114">
        <f>'Sampling Data'!C44</f>
        <v>55</v>
      </c>
      <c r="E44" s="115">
        <f>'Sampling Data'!D44</f>
        <v>0</v>
      </c>
      <c r="F44" s="115">
        <f>'Sampling Data'!E44</f>
        <v>0</v>
      </c>
      <c r="G44" s="115">
        <f>'Sampling Data'!F44</f>
        <v>0</v>
      </c>
      <c r="H44" s="115">
        <f>'Sampling Data'!G44</f>
        <v>0</v>
      </c>
      <c r="I44" s="115">
        <f>'Sampling Data'!H44</f>
        <v>0</v>
      </c>
      <c r="J44" s="115">
        <f>'Sampling Data'!I44</f>
        <v>0</v>
      </c>
      <c r="K44" s="115">
        <f>'Sampling Data'!J44</f>
        <v>0</v>
      </c>
      <c r="L44" s="115">
        <f>'Sampling Data'!K44</f>
        <v>0</v>
      </c>
      <c r="M44" s="115">
        <f>'Sampling Data'!L44</f>
        <v>0</v>
      </c>
      <c r="N44" s="115">
        <f>'Sampling Data'!M44</f>
        <v>0</v>
      </c>
      <c r="O44" s="114">
        <f>'Sampling Data'!N44</f>
        <v>0</v>
      </c>
      <c r="P44" s="114">
        <f>'Sampling Data'!O44</f>
        <v>0</v>
      </c>
      <c r="Q44" s="114">
        <f>'Sampling Data'!P44</f>
        <v>131</v>
      </c>
      <c r="R44" s="114">
        <f>'Sampling Data'!AJ44</f>
        <v>1</v>
      </c>
      <c r="S44" s="116">
        <v>76</v>
      </c>
      <c r="T44" s="116">
        <v>55</v>
      </c>
      <c r="U44" s="117"/>
      <c r="V44" s="117"/>
      <c r="W44" s="116"/>
      <c r="X44" s="116"/>
      <c r="Y44" s="116"/>
      <c r="Z44" s="116"/>
      <c r="AA44" s="15"/>
      <c r="AB44" s="15"/>
      <c r="AC44" s="15"/>
      <c r="AD44" s="15"/>
      <c r="AE44" s="118">
        <f>IF(NOT(ISBLANK(Audit[[#This Row],[Audit Winning Candidate]])), Audit[[#This Row],[Audit Winning Candidate]]-Audit[[#This Row],[Winning Candidate]], "")</f>
        <v>0</v>
      </c>
      <c r="AF44" s="114">
        <f>IF(NOT(ISBLANK(Audit[[#This Row],[Audit Losing Candidate]])), Audit[[#This Row],[Audit Losing Candidate]]-Audit[[#This Row],[Losing Candidate]], "")</f>
        <v>0</v>
      </c>
      <c r="AG44" s="114" t="str">
        <f>IF(NOT(ISBLANK(Audit[[#This Row],[Audit Candidate 3]])), Audit[[#This Row],[Audit Candidate 3]]-Audit[[#This Row],[Candidate 3]], "")</f>
        <v/>
      </c>
      <c r="AH44" s="114" t="str">
        <f>IF(NOT(ISBLANK(Audit[[#This Row],[Audit Candidate 4]])),Audit[[#This Row],[Audit Candidate 4]]-Audit[[#This Row],[Candidate 4]], "")</f>
        <v/>
      </c>
      <c r="AI44" s="114" t="str">
        <f>IF(NOT(ISBLANK(Audit[[#This Row],[Audit Candidate 5]])), Audit[[#This Row],[Audit Candidate 5]]-Audit[[#This Row],[Candidate 5]], "")</f>
        <v/>
      </c>
      <c r="AJ44" s="114" t="str">
        <f>IF(NOT(ISBLANK(Audit[[#This Row],[Audit Candidate 6]])), Audit[[#This Row],[Audit Candidate 6]]-Audit[[#This Row],[Candidate 6]], "")</f>
        <v/>
      </c>
      <c r="AK44" s="114" t="str">
        <f>IF(NOT(ISBLANK(Audit[[#This Row],[Audit Candidate 7]])), Audit[[#This Row],[Audit Candidate 7]]-Audit[[#This Row],[Candidate 7]], "")</f>
        <v/>
      </c>
      <c r="AL44" s="114" t="str">
        <f>IF(NOT(ISBLANK(Audit[[#This Row],[Audit Candidate 8]])), Audit[[#This Row],[Audit Candidate 8]]-Audit[[#This Row],[Candidate 8]], "")</f>
        <v/>
      </c>
      <c r="AM44" s="114" t="str">
        <f>IF(NOT(ISBLANK(Audit[[#This Row],[Audit Candidate 9]])), Audit[[#This Row],[Audit Candidate 9]]-Audit[[#This Row],[Candidate 9]], "")</f>
        <v/>
      </c>
      <c r="AN44" s="114" t="str">
        <f>IF(NOT(ISBLANK(Audit[[#This Row],[Audit Candidate 10]])), Audit[[#This Row],[Audit Candidate 10]]-Audit[[#This Row],[Candidate 10]], "")</f>
        <v/>
      </c>
      <c r="AO44" s="114" t="str">
        <f>IF(NOT(ISBLANK(Audit[[#This Row],[Audit Candidate 11]])), Audit[[#This Row],[Audit Candidate 11]]-Audit[[#This Row],[Candidate 11]], "")</f>
        <v/>
      </c>
      <c r="AP44" s="114" t="str">
        <f>IF(NOT(ISBLANK(Audit[[#This Row],[Audit Candidate 12]])), Audit[[#This Row],[Audit Candidate 12]]-Audit[[#This Row],[Candidate 12]], "")</f>
        <v/>
      </c>
      <c r="AQ44" s="114">
        <f>SUMIF(Audit[[#This Row],[Difference Winner]:[Difference Candidate 12]], "&gt;0")</f>
        <v>0</v>
      </c>
      <c r="AR44" s="114">
        <f>SUM(Audit[[#This Row],[Difference Winner]:[Difference Candidate 12]])</f>
        <v>0</v>
      </c>
      <c r="AS44" s="114">
        <f>IF(Audit[[#This Row],[Times p Drawn - With Replacement]]&gt;0, IF(Audit[[#This Row],[Canceled Differences]]&lt;0, Audit[[#This Row],[Max Differences]]+ABS(Audit[[#This Row],[Canceled Differences]]), Audit[[#This Row],[Max Differences]]), 0)</f>
        <v>0</v>
      </c>
      <c r="AT44" s="114">
        <f>'Sampling Data'!AB44</f>
        <v>0.32135306553911203</v>
      </c>
      <c r="AU44" s="114">
        <f>IF(
      SUM(Audit[[#This Row],[Audit Losing Candidate]:[Audit Candidate 12]])
      &lt;&gt;0,
      (Audit[[#This Row],[Winning Candidate]]-Audit[[#This Row],[Losing Candidate]]-(Audit[[#This Row],[Audit Winning Candidate]]-Audit[[#This Row],[Audit Losing Candidate]]))/(Audit[[#Totals],[Winning Candidate]]-Audit[[#Totals],[Losing Candidate]]),
      0
)</f>
        <v>0</v>
      </c>
      <c r="AV4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4" s="114">
        <f>IF(Audit[[#This Row],[Max Relative Error (ep)]] = 0, 0, Audit[[#This Row],[Max Relative Error (ep)]]/Audit[[#This Row],[Error Bound (up) - Max. possible relative overstatement]])</f>
        <v>0</v>
      </c>
      <c r="BH4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44" s="114">
        <f t="shared" si="1"/>
        <v>0.92489679263258173</v>
      </c>
      <c r="BJ44" s="114">
        <f>PRODUCT($BI$5:BI44)</f>
        <v>0.22686745259521945</v>
      </c>
      <c r="BK44" s="112">
        <f>1 - Audit[[#This Row],[K-M P Value]]</f>
        <v>0.77313254740478055</v>
      </c>
      <c r="BL44" s="114" t="str">
        <f>IF(Audit[[#This Row],[K-M P Value]]&gt;1-'General Info'!$B$12,"Continue", "Stop")</f>
        <v>Continue</v>
      </c>
      <c r="BM44" s="113" t="b">
        <f>IF(Audit[[#This Row],[Status - Continue or stop audit]] = "Continue", TRUE, IF(BL43 = "Continue", TRUE, FALSE))</f>
        <v>1</v>
      </c>
      <c r="BN44" s="113"/>
    </row>
    <row r="45" spans="1:66" ht="15" hidden="1" customHeight="1" x14ac:dyDescent="0.35">
      <c r="A45" s="114" t="str">
        <f>'Sampling Data'!AI45</f>
        <v/>
      </c>
      <c r="B45" s="114" t="str">
        <f>'Sampling Data'!A45</f>
        <v>5205 SPDALE E   (ED)</v>
      </c>
      <c r="C45" s="114">
        <f>'Sampling Data'!B45</f>
        <v>46</v>
      </c>
      <c r="D45" s="114">
        <f>'Sampling Data'!C45</f>
        <v>61</v>
      </c>
      <c r="E45" s="115">
        <f>'Sampling Data'!D45</f>
        <v>0</v>
      </c>
      <c r="F45" s="115">
        <f>'Sampling Data'!E45</f>
        <v>0</v>
      </c>
      <c r="G45" s="115">
        <f>'Sampling Data'!F45</f>
        <v>0</v>
      </c>
      <c r="H45" s="115">
        <f>'Sampling Data'!G45</f>
        <v>0</v>
      </c>
      <c r="I45" s="115">
        <f>'Sampling Data'!H45</f>
        <v>0</v>
      </c>
      <c r="J45" s="115">
        <f>'Sampling Data'!I45</f>
        <v>0</v>
      </c>
      <c r="K45" s="115">
        <f>'Sampling Data'!J45</f>
        <v>0</v>
      </c>
      <c r="L45" s="115">
        <f>'Sampling Data'!K45</f>
        <v>0</v>
      </c>
      <c r="M45" s="115">
        <f>'Sampling Data'!L45</f>
        <v>0</v>
      </c>
      <c r="N45" s="115">
        <f>'Sampling Data'!M45</f>
        <v>0</v>
      </c>
      <c r="O45" s="114">
        <f>'Sampling Data'!N45</f>
        <v>0</v>
      </c>
      <c r="P45" s="114">
        <f>'Sampling Data'!O45</f>
        <v>0</v>
      </c>
      <c r="Q45" s="114">
        <f>'Sampling Data'!P45</f>
        <v>107</v>
      </c>
      <c r="R45" s="114">
        <f>'Sampling Data'!AJ45</f>
        <v>0</v>
      </c>
      <c r="S45" s="116"/>
      <c r="T45" s="116"/>
      <c r="U45" s="117"/>
      <c r="V45" s="117"/>
      <c r="W45" s="116"/>
      <c r="X45" s="116"/>
      <c r="Y45" s="116"/>
      <c r="Z45" s="116"/>
      <c r="AA45" s="15"/>
      <c r="AB45" s="15"/>
      <c r="AC45" s="15"/>
      <c r="AD45" s="15"/>
      <c r="AE45" s="118" t="str">
        <f>IF(NOT(ISBLANK(Audit[[#This Row],[Audit Winning Candidate]])), Audit[[#This Row],[Audit Winning Candidate]]-Audit[[#This Row],[Winning Candidate]], "")</f>
        <v/>
      </c>
      <c r="AF45" s="114" t="str">
        <f>IF(NOT(ISBLANK(Audit[[#This Row],[Audit Losing Candidate]])), Audit[[#This Row],[Audit Losing Candidate]]-Audit[[#This Row],[Losing Candidate]], "")</f>
        <v/>
      </c>
      <c r="AG45" s="114" t="str">
        <f>IF(NOT(ISBLANK(Audit[[#This Row],[Audit Candidate 3]])), Audit[[#This Row],[Audit Candidate 3]]-Audit[[#This Row],[Candidate 3]], "")</f>
        <v/>
      </c>
      <c r="AH45" s="114" t="str">
        <f>IF(NOT(ISBLANK(Audit[[#This Row],[Audit Candidate 4]])),Audit[[#This Row],[Audit Candidate 4]]-Audit[[#This Row],[Candidate 4]], "")</f>
        <v/>
      </c>
      <c r="AI45" s="114" t="str">
        <f>IF(NOT(ISBLANK(Audit[[#This Row],[Audit Candidate 5]])), Audit[[#This Row],[Audit Candidate 5]]-Audit[[#This Row],[Candidate 5]], "")</f>
        <v/>
      </c>
      <c r="AJ45" s="114" t="str">
        <f>IF(NOT(ISBLANK(Audit[[#This Row],[Audit Candidate 6]])), Audit[[#This Row],[Audit Candidate 6]]-Audit[[#This Row],[Candidate 6]], "")</f>
        <v/>
      </c>
      <c r="AK45" s="114" t="str">
        <f>IF(NOT(ISBLANK(Audit[[#This Row],[Audit Candidate 7]])), Audit[[#This Row],[Audit Candidate 7]]-Audit[[#This Row],[Candidate 7]], "")</f>
        <v/>
      </c>
      <c r="AL45" s="114" t="str">
        <f>IF(NOT(ISBLANK(Audit[[#This Row],[Audit Candidate 8]])), Audit[[#This Row],[Audit Candidate 8]]-Audit[[#This Row],[Candidate 8]], "")</f>
        <v/>
      </c>
      <c r="AM45" s="114" t="str">
        <f>IF(NOT(ISBLANK(Audit[[#This Row],[Audit Candidate 9]])), Audit[[#This Row],[Audit Candidate 9]]-Audit[[#This Row],[Candidate 9]], "")</f>
        <v/>
      </c>
      <c r="AN45" s="114" t="str">
        <f>IF(NOT(ISBLANK(Audit[[#This Row],[Audit Candidate 10]])), Audit[[#This Row],[Audit Candidate 10]]-Audit[[#This Row],[Candidate 10]], "")</f>
        <v/>
      </c>
      <c r="AO45" s="114" t="str">
        <f>IF(NOT(ISBLANK(Audit[[#This Row],[Audit Candidate 11]])), Audit[[#This Row],[Audit Candidate 11]]-Audit[[#This Row],[Candidate 11]], "")</f>
        <v/>
      </c>
      <c r="AP45" s="114" t="str">
        <f>IF(NOT(ISBLANK(Audit[[#This Row],[Audit Candidate 12]])), Audit[[#This Row],[Audit Candidate 12]]-Audit[[#This Row],[Candidate 12]], "")</f>
        <v/>
      </c>
      <c r="AQ45" s="114">
        <f>SUMIF(Audit[[#This Row],[Difference Winner]:[Difference Candidate 12]], "&gt;0")</f>
        <v>0</v>
      </c>
      <c r="AR45" s="114">
        <f>SUM(Audit[[#This Row],[Difference Winner]:[Difference Candidate 12]])</f>
        <v>0</v>
      </c>
      <c r="AS45" s="114">
        <f>IF(Audit[[#This Row],[Times p Drawn - With Replacement]]&gt;0, IF(Audit[[#This Row],[Canceled Differences]]&lt;0, Audit[[#This Row],[Max Differences]]+ABS(Audit[[#This Row],[Canceled Differences]]), Audit[[#This Row],[Max Differences]]), 0)</f>
        <v>0</v>
      </c>
      <c r="AT45" s="114">
        <f>'Sampling Data'!AB45</f>
        <v>0.1945031712473573</v>
      </c>
      <c r="AU45" s="114">
        <f>IF(
      SUM(Audit[[#This Row],[Audit Losing Candidate]:[Audit Candidate 12]])
      &lt;&gt;0,
      (Audit[[#This Row],[Winning Candidate]]-Audit[[#This Row],[Losing Candidate]]-(Audit[[#This Row],[Audit Winning Candidate]]-Audit[[#This Row],[Audit Losing Candidate]]))/(Audit[[#Totals],[Winning Candidate]]-Audit[[#Totals],[Losing Candidate]]),
      0
)</f>
        <v>0</v>
      </c>
      <c r="AV4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5" s="114">
        <f>IF(Audit[[#This Row],[Max Relative Error (ep)]] = 0, 0, Audit[[#This Row],[Max Relative Error (ep)]]/Audit[[#This Row],[Error Bound (up) - Max. possible relative overstatement]])</f>
        <v>0</v>
      </c>
      <c r="BH4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45" s="114">
        <f t="shared" si="1"/>
        <v>1</v>
      </c>
      <c r="BJ45" s="114">
        <f>PRODUCT($BI$5:BI45)</f>
        <v>0.22686745259521945</v>
      </c>
      <c r="BK45" s="112">
        <f>1 - Audit[[#This Row],[K-M P Value]]</f>
        <v>0.77313254740478055</v>
      </c>
      <c r="BL45" s="114" t="str">
        <f>IF(Audit[[#This Row],[K-M P Value]]&gt;1-'General Info'!$B$12,"Continue", "Stop")</f>
        <v>Continue</v>
      </c>
      <c r="BM45" s="113" t="b">
        <f>IF(Audit[[#This Row],[Status - Continue or stop audit]] = "Continue", TRUE, IF(BL44 = "Continue", TRUE, FALSE))</f>
        <v>1</v>
      </c>
      <c r="BN45" s="113"/>
    </row>
    <row r="46" spans="1:66" ht="15" hidden="1" customHeight="1" x14ac:dyDescent="0.35">
      <c r="A46" s="114" t="str">
        <f>'Sampling Data'!AI46</f>
        <v/>
      </c>
      <c r="B46" s="114" t="str">
        <f>'Sampling Data'!A46</f>
        <v>5206 SPDALE F   (ED)</v>
      </c>
      <c r="C46" s="114">
        <f>'Sampling Data'!B46</f>
        <v>63</v>
      </c>
      <c r="D46" s="114">
        <f>'Sampling Data'!C46</f>
        <v>61</v>
      </c>
      <c r="E46" s="115">
        <f>'Sampling Data'!D46</f>
        <v>0</v>
      </c>
      <c r="F46" s="115">
        <f>'Sampling Data'!E46</f>
        <v>0</v>
      </c>
      <c r="G46" s="115">
        <f>'Sampling Data'!F46</f>
        <v>0</v>
      </c>
      <c r="H46" s="115">
        <f>'Sampling Data'!G46</f>
        <v>0</v>
      </c>
      <c r="I46" s="115">
        <f>'Sampling Data'!H46</f>
        <v>0</v>
      </c>
      <c r="J46" s="115">
        <f>'Sampling Data'!I46</f>
        <v>0</v>
      </c>
      <c r="K46" s="115">
        <f>'Sampling Data'!J46</f>
        <v>0</v>
      </c>
      <c r="L46" s="115">
        <f>'Sampling Data'!K46</f>
        <v>0</v>
      </c>
      <c r="M46" s="115">
        <f>'Sampling Data'!L46</f>
        <v>0</v>
      </c>
      <c r="N46" s="115">
        <f>'Sampling Data'!M46</f>
        <v>0</v>
      </c>
      <c r="O46" s="114">
        <f>'Sampling Data'!N46</f>
        <v>0</v>
      </c>
      <c r="P46" s="114">
        <f>'Sampling Data'!O46</f>
        <v>1</v>
      </c>
      <c r="Q46" s="114">
        <f>'Sampling Data'!P46</f>
        <v>125</v>
      </c>
      <c r="R46" s="114">
        <f>'Sampling Data'!AJ46</f>
        <v>0</v>
      </c>
      <c r="S46" s="116"/>
      <c r="T46" s="116"/>
      <c r="U46" s="117"/>
      <c r="V46" s="117"/>
      <c r="W46" s="116"/>
      <c r="X46" s="116"/>
      <c r="Y46" s="116"/>
      <c r="Z46" s="116"/>
      <c r="AA46" s="15"/>
      <c r="AB46" s="15"/>
      <c r="AC46" s="15"/>
      <c r="AD46" s="15"/>
      <c r="AE46" s="118" t="str">
        <f>IF(NOT(ISBLANK(Audit[[#This Row],[Audit Winning Candidate]])), Audit[[#This Row],[Audit Winning Candidate]]-Audit[[#This Row],[Winning Candidate]], "")</f>
        <v/>
      </c>
      <c r="AF46" s="114" t="str">
        <f>IF(NOT(ISBLANK(Audit[[#This Row],[Audit Losing Candidate]])), Audit[[#This Row],[Audit Losing Candidate]]-Audit[[#This Row],[Losing Candidate]], "")</f>
        <v/>
      </c>
      <c r="AG46" s="114" t="str">
        <f>IF(NOT(ISBLANK(Audit[[#This Row],[Audit Candidate 3]])), Audit[[#This Row],[Audit Candidate 3]]-Audit[[#This Row],[Candidate 3]], "")</f>
        <v/>
      </c>
      <c r="AH46" s="114" t="str">
        <f>IF(NOT(ISBLANK(Audit[[#This Row],[Audit Candidate 4]])),Audit[[#This Row],[Audit Candidate 4]]-Audit[[#This Row],[Candidate 4]], "")</f>
        <v/>
      </c>
      <c r="AI46" s="114" t="str">
        <f>IF(NOT(ISBLANK(Audit[[#This Row],[Audit Candidate 5]])), Audit[[#This Row],[Audit Candidate 5]]-Audit[[#This Row],[Candidate 5]], "")</f>
        <v/>
      </c>
      <c r="AJ46" s="114" t="str">
        <f>IF(NOT(ISBLANK(Audit[[#This Row],[Audit Candidate 6]])), Audit[[#This Row],[Audit Candidate 6]]-Audit[[#This Row],[Candidate 6]], "")</f>
        <v/>
      </c>
      <c r="AK46" s="114" t="str">
        <f>IF(NOT(ISBLANK(Audit[[#This Row],[Audit Candidate 7]])), Audit[[#This Row],[Audit Candidate 7]]-Audit[[#This Row],[Candidate 7]], "")</f>
        <v/>
      </c>
      <c r="AL46" s="114" t="str">
        <f>IF(NOT(ISBLANK(Audit[[#This Row],[Audit Candidate 8]])), Audit[[#This Row],[Audit Candidate 8]]-Audit[[#This Row],[Candidate 8]], "")</f>
        <v/>
      </c>
      <c r="AM46" s="114" t="str">
        <f>IF(NOT(ISBLANK(Audit[[#This Row],[Audit Candidate 9]])), Audit[[#This Row],[Audit Candidate 9]]-Audit[[#This Row],[Candidate 9]], "")</f>
        <v/>
      </c>
      <c r="AN46" s="114" t="str">
        <f>IF(NOT(ISBLANK(Audit[[#This Row],[Audit Candidate 10]])), Audit[[#This Row],[Audit Candidate 10]]-Audit[[#This Row],[Candidate 10]], "")</f>
        <v/>
      </c>
      <c r="AO46" s="114" t="str">
        <f>IF(NOT(ISBLANK(Audit[[#This Row],[Audit Candidate 11]])), Audit[[#This Row],[Audit Candidate 11]]-Audit[[#This Row],[Candidate 11]], "")</f>
        <v/>
      </c>
      <c r="AP46" s="114" t="str">
        <f>IF(NOT(ISBLANK(Audit[[#This Row],[Audit Candidate 12]])), Audit[[#This Row],[Audit Candidate 12]]-Audit[[#This Row],[Candidate 12]], "")</f>
        <v/>
      </c>
      <c r="AQ46" s="114">
        <f>SUMIF(Audit[[#This Row],[Difference Winner]:[Difference Candidate 12]], "&gt;0")</f>
        <v>0</v>
      </c>
      <c r="AR46" s="114">
        <f>SUM(Audit[[#This Row],[Difference Winner]:[Difference Candidate 12]])</f>
        <v>0</v>
      </c>
      <c r="AS46" s="114">
        <f>IF(Audit[[#This Row],[Times p Drawn - With Replacement]]&gt;0, IF(Audit[[#This Row],[Canceled Differences]]&lt;0, Audit[[#This Row],[Max Differences]]+ABS(Audit[[#This Row],[Canceled Differences]]), Audit[[#This Row],[Max Differences]]), 0)</f>
        <v>0</v>
      </c>
      <c r="AT46" s="114">
        <f>'Sampling Data'!AB46</f>
        <v>0.26849894291754756</v>
      </c>
      <c r="AU46" s="114">
        <f>IF(
      SUM(Audit[[#This Row],[Audit Losing Candidate]:[Audit Candidate 12]])
      &lt;&gt;0,
      (Audit[[#This Row],[Winning Candidate]]-Audit[[#This Row],[Losing Candidate]]-(Audit[[#This Row],[Audit Winning Candidate]]-Audit[[#This Row],[Audit Losing Candidate]]))/(Audit[[#Totals],[Winning Candidate]]-Audit[[#Totals],[Losing Candidate]]),
      0
)</f>
        <v>0</v>
      </c>
      <c r="AV4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6" s="114">
        <f>IF(Audit[[#This Row],[Max Relative Error (ep)]] = 0, 0, Audit[[#This Row],[Max Relative Error (ep)]]/Audit[[#This Row],[Error Bound (up) - Max. possible relative overstatement]])</f>
        <v>0</v>
      </c>
      <c r="BH4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46" s="114">
        <f t="shared" si="1"/>
        <v>1</v>
      </c>
      <c r="BJ46" s="114">
        <f>PRODUCT($BI$5:BI46)</f>
        <v>0.22686745259521945</v>
      </c>
      <c r="BK46" s="112">
        <f>1 - Audit[[#This Row],[K-M P Value]]</f>
        <v>0.77313254740478055</v>
      </c>
      <c r="BL46" s="114" t="str">
        <f>IF(Audit[[#This Row],[K-M P Value]]&gt;1-'General Info'!$B$12,"Continue", "Stop")</f>
        <v>Continue</v>
      </c>
      <c r="BM46" s="113" t="b">
        <f>IF(Audit[[#This Row],[Status - Continue or stop audit]] = "Continue", TRUE, IF(BL45 = "Continue", TRUE, FALSE))</f>
        <v>1</v>
      </c>
      <c r="BN46" s="113"/>
    </row>
    <row r="47" spans="1:66" ht="15" hidden="1" customHeight="1" x14ac:dyDescent="0.35">
      <c r="A47" s="114" t="str">
        <f>'Sampling Data'!AI47</f>
        <v/>
      </c>
      <c r="B47" s="114" t="str">
        <f>'Sampling Data'!A47</f>
        <v>5207 SPDALE G   (ED)</v>
      </c>
      <c r="C47" s="114">
        <f>'Sampling Data'!B47</f>
        <v>49</v>
      </c>
      <c r="D47" s="114">
        <f>'Sampling Data'!C47</f>
        <v>28</v>
      </c>
      <c r="E47" s="115">
        <f>'Sampling Data'!D47</f>
        <v>0</v>
      </c>
      <c r="F47" s="115">
        <f>'Sampling Data'!E47</f>
        <v>0</v>
      </c>
      <c r="G47" s="115">
        <f>'Sampling Data'!F47</f>
        <v>0</v>
      </c>
      <c r="H47" s="115">
        <f>'Sampling Data'!G47</f>
        <v>0</v>
      </c>
      <c r="I47" s="115">
        <f>'Sampling Data'!H47</f>
        <v>0</v>
      </c>
      <c r="J47" s="115">
        <f>'Sampling Data'!I47</f>
        <v>0</v>
      </c>
      <c r="K47" s="115">
        <f>'Sampling Data'!J47</f>
        <v>0</v>
      </c>
      <c r="L47" s="115">
        <f>'Sampling Data'!K47</f>
        <v>0</v>
      </c>
      <c r="M47" s="115">
        <f>'Sampling Data'!L47</f>
        <v>0</v>
      </c>
      <c r="N47" s="115">
        <f>'Sampling Data'!M47</f>
        <v>0</v>
      </c>
      <c r="O47" s="114">
        <f>'Sampling Data'!N47</f>
        <v>0</v>
      </c>
      <c r="P47" s="114">
        <f>'Sampling Data'!O47</f>
        <v>0</v>
      </c>
      <c r="Q47" s="114">
        <f>'Sampling Data'!P47</f>
        <v>77</v>
      </c>
      <c r="R47" s="114">
        <f>'Sampling Data'!AJ47</f>
        <v>0</v>
      </c>
      <c r="S47" s="116"/>
      <c r="T47" s="116"/>
      <c r="U47" s="117"/>
      <c r="V47" s="117"/>
      <c r="W47" s="116"/>
      <c r="X47" s="116"/>
      <c r="Y47" s="116"/>
      <c r="Z47" s="116"/>
      <c r="AA47" s="15"/>
      <c r="AB47" s="15"/>
      <c r="AC47" s="15"/>
      <c r="AD47" s="15"/>
      <c r="AE47" s="118" t="str">
        <f>IF(NOT(ISBLANK(Audit[[#This Row],[Audit Winning Candidate]])), Audit[[#This Row],[Audit Winning Candidate]]-Audit[[#This Row],[Winning Candidate]], "")</f>
        <v/>
      </c>
      <c r="AF47" s="114" t="str">
        <f>IF(NOT(ISBLANK(Audit[[#This Row],[Audit Losing Candidate]])), Audit[[#This Row],[Audit Losing Candidate]]-Audit[[#This Row],[Losing Candidate]], "")</f>
        <v/>
      </c>
      <c r="AG47" s="114" t="str">
        <f>IF(NOT(ISBLANK(Audit[[#This Row],[Audit Candidate 3]])), Audit[[#This Row],[Audit Candidate 3]]-Audit[[#This Row],[Candidate 3]], "")</f>
        <v/>
      </c>
      <c r="AH47" s="114" t="str">
        <f>IF(NOT(ISBLANK(Audit[[#This Row],[Audit Candidate 4]])),Audit[[#This Row],[Audit Candidate 4]]-Audit[[#This Row],[Candidate 4]], "")</f>
        <v/>
      </c>
      <c r="AI47" s="114" t="str">
        <f>IF(NOT(ISBLANK(Audit[[#This Row],[Audit Candidate 5]])), Audit[[#This Row],[Audit Candidate 5]]-Audit[[#This Row],[Candidate 5]], "")</f>
        <v/>
      </c>
      <c r="AJ47" s="114" t="str">
        <f>IF(NOT(ISBLANK(Audit[[#This Row],[Audit Candidate 6]])), Audit[[#This Row],[Audit Candidate 6]]-Audit[[#This Row],[Candidate 6]], "")</f>
        <v/>
      </c>
      <c r="AK47" s="114" t="str">
        <f>IF(NOT(ISBLANK(Audit[[#This Row],[Audit Candidate 7]])), Audit[[#This Row],[Audit Candidate 7]]-Audit[[#This Row],[Candidate 7]], "")</f>
        <v/>
      </c>
      <c r="AL47" s="114" t="str">
        <f>IF(NOT(ISBLANK(Audit[[#This Row],[Audit Candidate 8]])), Audit[[#This Row],[Audit Candidate 8]]-Audit[[#This Row],[Candidate 8]], "")</f>
        <v/>
      </c>
      <c r="AM47" s="114" t="str">
        <f>IF(NOT(ISBLANK(Audit[[#This Row],[Audit Candidate 9]])), Audit[[#This Row],[Audit Candidate 9]]-Audit[[#This Row],[Candidate 9]], "")</f>
        <v/>
      </c>
      <c r="AN47" s="114" t="str">
        <f>IF(NOT(ISBLANK(Audit[[#This Row],[Audit Candidate 10]])), Audit[[#This Row],[Audit Candidate 10]]-Audit[[#This Row],[Candidate 10]], "")</f>
        <v/>
      </c>
      <c r="AO47" s="114" t="str">
        <f>IF(NOT(ISBLANK(Audit[[#This Row],[Audit Candidate 11]])), Audit[[#This Row],[Audit Candidate 11]]-Audit[[#This Row],[Candidate 11]], "")</f>
        <v/>
      </c>
      <c r="AP47" s="114" t="str">
        <f>IF(NOT(ISBLANK(Audit[[#This Row],[Audit Candidate 12]])), Audit[[#This Row],[Audit Candidate 12]]-Audit[[#This Row],[Candidate 12]], "")</f>
        <v/>
      </c>
      <c r="AQ47" s="114">
        <f>SUMIF(Audit[[#This Row],[Difference Winner]:[Difference Candidate 12]], "&gt;0")</f>
        <v>0</v>
      </c>
      <c r="AR47" s="114">
        <f>SUM(Audit[[#This Row],[Difference Winner]:[Difference Candidate 12]])</f>
        <v>0</v>
      </c>
      <c r="AS47" s="114">
        <f>IF(Audit[[#This Row],[Times p Drawn - With Replacement]]&gt;0, IF(Audit[[#This Row],[Canceled Differences]]&lt;0, Audit[[#This Row],[Max Differences]]+ABS(Audit[[#This Row],[Canceled Differences]]), Audit[[#This Row],[Max Differences]]), 0)</f>
        <v>0</v>
      </c>
      <c r="AT47" s="114">
        <f>'Sampling Data'!AB47</f>
        <v>0.20718816067653276</v>
      </c>
      <c r="AU47" s="114">
        <f>IF(
      SUM(Audit[[#This Row],[Audit Losing Candidate]:[Audit Candidate 12]])
      &lt;&gt;0,
      (Audit[[#This Row],[Winning Candidate]]-Audit[[#This Row],[Losing Candidate]]-(Audit[[#This Row],[Audit Winning Candidate]]-Audit[[#This Row],[Audit Losing Candidate]]))/(Audit[[#Totals],[Winning Candidate]]-Audit[[#Totals],[Losing Candidate]]),
      0
)</f>
        <v>0</v>
      </c>
      <c r="AV4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7" s="114">
        <f>IF(Audit[[#This Row],[Max Relative Error (ep)]] = 0, 0, Audit[[#This Row],[Max Relative Error (ep)]]/Audit[[#This Row],[Error Bound (up) - Max. possible relative overstatement]])</f>
        <v>0</v>
      </c>
      <c r="BH4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47" s="114">
        <f t="shared" si="1"/>
        <v>1</v>
      </c>
      <c r="BJ47" s="114">
        <f>PRODUCT($BI$5:BI47)</f>
        <v>0.22686745259521945</v>
      </c>
      <c r="BK47" s="112">
        <f>1 - Audit[[#This Row],[K-M P Value]]</f>
        <v>0.77313254740478055</v>
      </c>
      <c r="BL47" s="114" t="str">
        <f>IF(Audit[[#This Row],[K-M P Value]]&gt;1-'General Info'!$B$12,"Continue", "Stop")</f>
        <v>Continue</v>
      </c>
      <c r="BM47" s="113" t="b">
        <f>IF(Audit[[#This Row],[Status - Continue or stop audit]] = "Continue", TRUE, IF(BL46 = "Continue", TRUE, FALSE))</f>
        <v>1</v>
      </c>
      <c r="BN47" s="113"/>
    </row>
    <row r="48" spans="1:66" ht="15" customHeight="1" x14ac:dyDescent="0.35">
      <c r="A48" s="114">
        <f>'Sampling Data'!AI48</f>
        <v>9</v>
      </c>
      <c r="B48" s="114" t="str">
        <f>'Sampling Data'!A48</f>
        <v>5208 SPDALE H   (ED)</v>
      </c>
      <c r="C48" s="114">
        <f>'Sampling Data'!B48</f>
        <v>152</v>
      </c>
      <c r="D48" s="114">
        <f>'Sampling Data'!C48</f>
        <v>68</v>
      </c>
      <c r="E48" s="115">
        <f>'Sampling Data'!D48</f>
        <v>0</v>
      </c>
      <c r="F48" s="115">
        <f>'Sampling Data'!E48</f>
        <v>0</v>
      </c>
      <c r="G48" s="115">
        <f>'Sampling Data'!F48</f>
        <v>0</v>
      </c>
      <c r="H48" s="115">
        <f>'Sampling Data'!G48</f>
        <v>0</v>
      </c>
      <c r="I48" s="115">
        <f>'Sampling Data'!H48</f>
        <v>0</v>
      </c>
      <c r="J48" s="115">
        <f>'Sampling Data'!I48</f>
        <v>0</v>
      </c>
      <c r="K48" s="115">
        <f>'Sampling Data'!J48</f>
        <v>0</v>
      </c>
      <c r="L48" s="115">
        <f>'Sampling Data'!K48</f>
        <v>0</v>
      </c>
      <c r="M48" s="115">
        <f>'Sampling Data'!L48</f>
        <v>0</v>
      </c>
      <c r="N48" s="115">
        <f>'Sampling Data'!M48</f>
        <v>0</v>
      </c>
      <c r="O48" s="114">
        <f>'Sampling Data'!N48</f>
        <v>0</v>
      </c>
      <c r="P48" s="114">
        <f>'Sampling Data'!O48</f>
        <v>0</v>
      </c>
      <c r="Q48" s="114">
        <f>'Sampling Data'!P48</f>
        <v>220</v>
      </c>
      <c r="R48" s="114">
        <f>'Sampling Data'!AJ48</f>
        <v>1</v>
      </c>
      <c r="S48" s="116">
        <v>152</v>
      </c>
      <c r="T48" s="116">
        <v>68</v>
      </c>
      <c r="U48" s="117"/>
      <c r="V48" s="117"/>
      <c r="W48" s="116"/>
      <c r="X48" s="116"/>
      <c r="Y48" s="116"/>
      <c r="Z48" s="116"/>
      <c r="AA48" s="15"/>
      <c r="AB48" s="15"/>
      <c r="AC48" s="15"/>
      <c r="AD48" s="15"/>
      <c r="AE48" s="118">
        <f>IF(NOT(ISBLANK(Audit[[#This Row],[Audit Winning Candidate]])), Audit[[#This Row],[Audit Winning Candidate]]-Audit[[#This Row],[Winning Candidate]], "")</f>
        <v>0</v>
      </c>
      <c r="AF48" s="114">
        <f>IF(NOT(ISBLANK(Audit[[#This Row],[Audit Losing Candidate]])), Audit[[#This Row],[Audit Losing Candidate]]-Audit[[#This Row],[Losing Candidate]], "")</f>
        <v>0</v>
      </c>
      <c r="AG48" s="114" t="str">
        <f>IF(NOT(ISBLANK(Audit[[#This Row],[Audit Candidate 3]])), Audit[[#This Row],[Audit Candidate 3]]-Audit[[#This Row],[Candidate 3]], "")</f>
        <v/>
      </c>
      <c r="AH48" s="114" t="str">
        <f>IF(NOT(ISBLANK(Audit[[#This Row],[Audit Candidate 4]])),Audit[[#This Row],[Audit Candidate 4]]-Audit[[#This Row],[Candidate 4]], "")</f>
        <v/>
      </c>
      <c r="AI48" s="114" t="str">
        <f>IF(NOT(ISBLANK(Audit[[#This Row],[Audit Candidate 5]])), Audit[[#This Row],[Audit Candidate 5]]-Audit[[#This Row],[Candidate 5]], "")</f>
        <v/>
      </c>
      <c r="AJ48" s="114" t="str">
        <f>IF(NOT(ISBLANK(Audit[[#This Row],[Audit Candidate 6]])), Audit[[#This Row],[Audit Candidate 6]]-Audit[[#This Row],[Candidate 6]], "")</f>
        <v/>
      </c>
      <c r="AK48" s="114" t="str">
        <f>IF(NOT(ISBLANK(Audit[[#This Row],[Audit Candidate 7]])), Audit[[#This Row],[Audit Candidate 7]]-Audit[[#This Row],[Candidate 7]], "")</f>
        <v/>
      </c>
      <c r="AL48" s="114" t="str">
        <f>IF(NOT(ISBLANK(Audit[[#This Row],[Audit Candidate 8]])), Audit[[#This Row],[Audit Candidate 8]]-Audit[[#This Row],[Candidate 8]], "")</f>
        <v/>
      </c>
      <c r="AM48" s="114" t="str">
        <f>IF(NOT(ISBLANK(Audit[[#This Row],[Audit Candidate 9]])), Audit[[#This Row],[Audit Candidate 9]]-Audit[[#This Row],[Candidate 9]], "")</f>
        <v/>
      </c>
      <c r="AN48" s="114" t="str">
        <f>IF(NOT(ISBLANK(Audit[[#This Row],[Audit Candidate 10]])), Audit[[#This Row],[Audit Candidate 10]]-Audit[[#This Row],[Candidate 10]], "")</f>
        <v/>
      </c>
      <c r="AO48" s="114" t="str">
        <f>IF(NOT(ISBLANK(Audit[[#This Row],[Audit Candidate 11]])), Audit[[#This Row],[Audit Candidate 11]]-Audit[[#This Row],[Candidate 11]], "")</f>
        <v/>
      </c>
      <c r="AP48" s="114" t="str">
        <f>IF(NOT(ISBLANK(Audit[[#This Row],[Audit Candidate 12]])), Audit[[#This Row],[Audit Candidate 12]]-Audit[[#This Row],[Candidate 12]], "")</f>
        <v/>
      </c>
      <c r="AQ48" s="114">
        <f>SUMIF(Audit[[#This Row],[Difference Winner]:[Difference Candidate 12]], "&gt;0")</f>
        <v>0</v>
      </c>
      <c r="AR48" s="114">
        <f>SUM(Audit[[#This Row],[Difference Winner]:[Difference Candidate 12]])</f>
        <v>0</v>
      </c>
      <c r="AS48" s="114">
        <f>IF(Audit[[#This Row],[Times p Drawn - With Replacement]]&gt;0, IF(Audit[[#This Row],[Canceled Differences]]&lt;0, Audit[[#This Row],[Max Differences]]+ABS(Audit[[#This Row],[Canceled Differences]]), Audit[[#This Row],[Max Differences]]), 0)</f>
        <v>0</v>
      </c>
      <c r="AT48" s="114">
        <f>'Sampling Data'!AB48</f>
        <v>0.64270613107822405</v>
      </c>
      <c r="AU48" s="114">
        <f>IF(
      SUM(Audit[[#This Row],[Audit Losing Candidate]:[Audit Candidate 12]])
      &lt;&gt;0,
      (Audit[[#This Row],[Winning Candidate]]-Audit[[#This Row],[Losing Candidate]]-(Audit[[#This Row],[Audit Winning Candidate]]-Audit[[#This Row],[Audit Losing Candidate]]))/(Audit[[#Totals],[Winning Candidate]]-Audit[[#Totals],[Losing Candidate]]),
      0
)</f>
        <v>0</v>
      </c>
      <c r="AV4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8" s="114">
        <f>IF(Audit[[#This Row],[Max Relative Error (ep)]] = 0, 0, Audit[[#This Row],[Max Relative Error (ep)]]/Audit[[#This Row],[Error Bound (up) - Max. possible relative overstatement]])</f>
        <v>0</v>
      </c>
      <c r="BH4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48" s="114">
        <f t="shared" si="1"/>
        <v>0.92489679263258173</v>
      </c>
      <c r="BJ48" s="114">
        <f>PRODUCT($BI$5:BI48)</f>
        <v>0.20982897925804275</v>
      </c>
      <c r="BK48" s="112">
        <f>1 - Audit[[#This Row],[K-M P Value]]</f>
        <v>0.79017102074195722</v>
      </c>
      <c r="BL48" s="114" t="str">
        <f>IF(Audit[[#This Row],[K-M P Value]]&gt;1-'General Info'!$B$12,"Continue", "Stop")</f>
        <v>Continue</v>
      </c>
      <c r="BM48" s="113" t="b">
        <f>IF(Audit[[#This Row],[Status - Continue or stop audit]] = "Continue", TRUE, IF(BL47 = "Continue", TRUE, FALSE))</f>
        <v>1</v>
      </c>
      <c r="BN48" s="113"/>
    </row>
    <row r="49" spans="1:66" ht="15" customHeight="1" x14ac:dyDescent="0.35">
      <c r="A49" s="114">
        <f>'Sampling Data'!AI49</f>
        <v>6</v>
      </c>
      <c r="B49" s="114" t="str">
        <f>'Sampling Data'!A49</f>
        <v>6801 EVEN A   (ED)</v>
      </c>
      <c r="C49" s="114">
        <f>'Sampling Data'!B49</f>
        <v>223</v>
      </c>
      <c r="D49" s="114">
        <f>'Sampling Data'!C49</f>
        <v>186</v>
      </c>
      <c r="E49" s="115">
        <f>'Sampling Data'!D49</f>
        <v>0</v>
      </c>
      <c r="F49" s="115">
        <f>'Sampling Data'!E49</f>
        <v>0</v>
      </c>
      <c r="G49" s="115">
        <f>'Sampling Data'!F49</f>
        <v>0</v>
      </c>
      <c r="H49" s="115">
        <f>'Sampling Data'!G49</f>
        <v>0</v>
      </c>
      <c r="I49" s="115">
        <f>'Sampling Data'!H49</f>
        <v>0</v>
      </c>
      <c r="J49" s="115">
        <f>'Sampling Data'!I49</f>
        <v>0</v>
      </c>
      <c r="K49" s="115">
        <f>'Sampling Data'!J49</f>
        <v>0</v>
      </c>
      <c r="L49" s="115">
        <f>'Sampling Data'!K49</f>
        <v>0</v>
      </c>
      <c r="M49" s="115">
        <f>'Sampling Data'!L49</f>
        <v>0</v>
      </c>
      <c r="N49" s="115">
        <f>'Sampling Data'!M49</f>
        <v>0</v>
      </c>
      <c r="O49" s="114">
        <f>'Sampling Data'!N49</f>
        <v>0</v>
      </c>
      <c r="P49" s="114">
        <f>'Sampling Data'!O49</f>
        <v>0</v>
      </c>
      <c r="Q49" s="114">
        <f>'Sampling Data'!P49</f>
        <v>409</v>
      </c>
      <c r="R49" s="114">
        <f>'Sampling Data'!AJ49</f>
        <v>3</v>
      </c>
      <c r="S49" s="116">
        <v>223</v>
      </c>
      <c r="T49" s="116">
        <v>186</v>
      </c>
      <c r="U49" s="117"/>
      <c r="V49" s="117"/>
      <c r="W49" s="116"/>
      <c r="X49" s="116"/>
      <c r="Y49" s="116"/>
      <c r="Z49" s="116"/>
      <c r="AA49" s="15"/>
      <c r="AB49" s="15"/>
      <c r="AC49" s="15"/>
      <c r="AD49" s="15"/>
      <c r="AE49" s="118">
        <f>IF(NOT(ISBLANK(Audit[[#This Row],[Audit Winning Candidate]])), Audit[[#This Row],[Audit Winning Candidate]]-Audit[[#This Row],[Winning Candidate]], "")</f>
        <v>0</v>
      </c>
      <c r="AF49" s="114">
        <f>IF(NOT(ISBLANK(Audit[[#This Row],[Audit Losing Candidate]])), Audit[[#This Row],[Audit Losing Candidate]]-Audit[[#This Row],[Losing Candidate]], "")</f>
        <v>0</v>
      </c>
      <c r="AG49" s="114" t="str">
        <f>IF(NOT(ISBLANK(Audit[[#This Row],[Audit Candidate 3]])), Audit[[#This Row],[Audit Candidate 3]]-Audit[[#This Row],[Candidate 3]], "")</f>
        <v/>
      </c>
      <c r="AH49" s="114" t="str">
        <f>IF(NOT(ISBLANK(Audit[[#This Row],[Audit Candidate 4]])),Audit[[#This Row],[Audit Candidate 4]]-Audit[[#This Row],[Candidate 4]], "")</f>
        <v/>
      </c>
      <c r="AI49" s="114" t="str">
        <f>IF(NOT(ISBLANK(Audit[[#This Row],[Audit Candidate 5]])), Audit[[#This Row],[Audit Candidate 5]]-Audit[[#This Row],[Candidate 5]], "")</f>
        <v/>
      </c>
      <c r="AJ49" s="114" t="str">
        <f>IF(NOT(ISBLANK(Audit[[#This Row],[Audit Candidate 6]])), Audit[[#This Row],[Audit Candidate 6]]-Audit[[#This Row],[Candidate 6]], "")</f>
        <v/>
      </c>
      <c r="AK49" s="114" t="str">
        <f>IF(NOT(ISBLANK(Audit[[#This Row],[Audit Candidate 7]])), Audit[[#This Row],[Audit Candidate 7]]-Audit[[#This Row],[Candidate 7]], "")</f>
        <v/>
      </c>
      <c r="AL49" s="114" t="str">
        <f>IF(NOT(ISBLANK(Audit[[#This Row],[Audit Candidate 8]])), Audit[[#This Row],[Audit Candidate 8]]-Audit[[#This Row],[Candidate 8]], "")</f>
        <v/>
      </c>
      <c r="AM49" s="114" t="str">
        <f>IF(NOT(ISBLANK(Audit[[#This Row],[Audit Candidate 9]])), Audit[[#This Row],[Audit Candidate 9]]-Audit[[#This Row],[Candidate 9]], "")</f>
        <v/>
      </c>
      <c r="AN49" s="114" t="str">
        <f>IF(NOT(ISBLANK(Audit[[#This Row],[Audit Candidate 10]])), Audit[[#This Row],[Audit Candidate 10]]-Audit[[#This Row],[Candidate 10]], "")</f>
        <v/>
      </c>
      <c r="AO49" s="114" t="str">
        <f>IF(NOT(ISBLANK(Audit[[#This Row],[Audit Candidate 11]])), Audit[[#This Row],[Audit Candidate 11]]-Audit[[#This Row],[Candidate 11]], "")</f>
        <v/>
      </c>
      <c r="AP49" s="114" t="str">
        <f>IF(NOT(ISBLANK(Audit[[#This Row],[Audit Candidate 12]])), Audit[[#This Row],[Audit Candidate 12]]-Audit[[#This Row],[Candidate 12]], "")</f>
        <v/>
      </c>
      <c r="AQ49" s="114">
        <f>SUMIF(Audit[[#This Row],[Difference Winner]:[Difference Candidate 12]], "&gt;0")</f>
        <v>0</v>
      </c>
      <c r="AR49" s="114">
        <f>SUM(Audit[[#This Row],[Difference Winner]:[Difference Candidate 12]])</f>
        <v>0</v>
      </c>
      <c r="AS49" s="114">
        <f>IF(Audit[[#This Row],[Times p Drawn - With Replacement]]&gt;0, IF(Audit[[#This Row],[Canceled Differences]]&lt;0, Audit[[#This Row],[Max Differences]]+ABS(Audit[[#This Row],[Canceled Differences]]), Audit[[#This Row],[Max Differences]]), 0)</f>
        <v>0</v>
      </c>
      <c r="AT49" s="114">
        <f>'Sampling Data'!AB49</f>
        <v>0.94291754756871038</v>
      </c>
      <c r="AU49" s="114">
        <f>IF(
      SUM(Audit[[#This Row],[Audit Losing Candidate]:[Audit Candidate 12]])
      &lt;&gt;0,
      (Audit[[#This Row],[Winning Candidate]]-Audit[[#This Row],[Losing Candidate]]-(Audit[[#This Row],[Audit Winning Candidate]]-Audit[[#This Row],[Audit Losing Candidate]]))/(Audit[[#Totals],[Winning Candidate]]-Audit[[#Totals],[Losing Candidate]]),
      0
)</f>
        <v>0</v>
      </c>
      <c r="AV4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4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4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4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4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4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4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4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4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4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4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49" s="114">
        <f>IF(Audit[[#This Row],[Max Relative Error (ep)]] = 0, 0, Audit[[#This Row],[Max Relative Error (ep)]]/Audit[[#This Row],[Error Bound (up) - Max. possible relative overstatement]])</f>
        <v>0</v>
      </c>
      <c r="BH4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49" s="114">
        <f t="shared" si="1"/>
        <v>0.7911882341462948</v>
      </c>
      <c r="BJ49" s="114">
        <f>PRODUCT($BI$5:BI49)</f>
        <v>0.16601421957189036</v>
      </c>
      <c r="BK49" s="112">
        <f>1 - Audit[[#This Row],[K-M P Value]]</f>
        <v>0.83398578042810967</v>
      </c>
      <c r="BL49" s="114" t="str">
        <f>IF(Audit[[#This Row],[K-M P Value]]&gt;1-'General Info'!$B$12,"Continue", "Stop")</f>
        <v>Continue</v>
      </c>
      <c r="BM49" s="113" t="b">
        <f>IF(Audit[[#This Row],[Status - Continue or stop audit]] = "Continue", TRUE, IF(BL48 = "Continue", TRUE, FALSE))</f>
        <v>1</v>
      </c>
      <c r="BN49" s="113"/>
    </row>
    <row r="50" spans="1:66" ht="15" customHeight="1" x14ac:dyDescent="0.35">
      <c r="A50" s="114">
        <f>'Sampling Data'!AI50</f>
        <v>3</v>
      </c>
      <c r="B50" s="114" t="str">
        <f>'Sampling Data'!A50</f>
        <v>6802 EVEN B   (ED)</v>
      </c>
      <c r="C50" s="114">
        <f>'Sampling Data'!B50</f>
        <v>144</v>
      </c>
      <c r="D50" s="114">
        <f>'Sampling Data'!C50</f>
        <v>176</v>
      </c>
      <c r="E50" s="115">
        <f>'Sampling Data'!D50</f>
        <v>0</v>
      </c>
      <c r="F50" s="115">
        <f>'Sampling Data'!E50</f>
        <v>0</v>
      </c>
      <c r="G50" s="115">
        <f>'Sampling Data'!F50</f>
        <v>0</v>
      </c>
      <c r="H50" s="115">
        <f>'Sampling Data'!G50</f>
        <v>0</v>
      </c>
      <c r="I50" s="115">
        <f>'Sampling Data'!H50</f>
        <v>0</v>
      </c>
      <c r="J50" s="115">
        <f>'Sampling Data'!I50</f>
        <v>0</v>
      </c>
      <c r="K50" s="115">
        <f>'Sampling Data'!J50</f>
        <v>0</v>
      </c>
      <c r="L50" s="115">
        <f>'Sampling Data'!K50</f>
        <v>0</v>
      </c>
      <c r="M50" s="115">
        <f>'Sampling Data'!L50</f>
        <v>0</v>
      </c>
      <c r="N50" s="115">
        <f>'Sampling Data'!M50</f>
        <v>0</v>
      </c>
      <c r="O50" s="114">
        <f>'Sampling Data'!N50</f>
        <v>0</v>
      </c>
      <c r="P50" s="114">
        <f>'Sampling Data'!O50</f>
        <v>0</v>
      </c>
      <c r="Q50" s="114">
        <f>'Sampling Data'!P50</f>
        <v>320</v>
      </c>
      <c r="R50" s="114">
        <f>'Sampling Data'!AJ50</f>
        <v>1</v>
      </c>
      <c r="S50" s="116">
        <v>144</v>
      </c>
      <c r="T50" s="116">
        <v>176</v>
      </c>
      <c r="U50" s="117"/>
      <c r="V50" s="117"/>
      <c r="W50" s="116"/>
      <c r="X50" s="116"/>
      <c r="Y50" s="116"/>
      <c r="Z50" s="116"/>
      <c r="AA50" s="15"/>
      <c r="AB50" s="15"/>
      <c r="AC50" s="15"/>
      <c r="AD50" s="15"/>
      <c r="AE50" s="118">
        <f>IF(NOT(ISBLANK(Audit[[#This Row],[Audit Winning Candidate]])), Audit[[#This Row],[Audit Winning Candidate]]-Audit[[#This Row],[Winning Candidate]], "")</f>
        <v>0</v>
      </c>
      <c r="AF50" s="114">
        <f>IF(NOT(ISBLANK(Audit[[#This Row],[Audit Losing Candidate]])), Audit[[#This Row],[Audit Losing Candidate]]-Audit[[#This Row],[Losing Candidate]], "")</f>
        <v>0</v>
      </c>
      <c r="AG50" s="114" t="str">
        <f>IF(NOT(ISBLANK(Audit[[#This Row],[Audit Candidate 3]])), Audit[[#This Row],[Audit Candidate 3]]-Audit[[#This Row],[Candidate 3]], "")</f>
        <v/>
      </c>
      <c r="AH50" s="114" t="str">
        <f>IF(NOT(ISBLANK(Audit[[#This Row],[Audit Candidate 4]])),Audit[[#This Row],[Audit Candidate 4]]-Audit[[#This Row],[Candidate 4]], "")</f>
        <v/>
      </c>
      <c r="AI50" s="114" t="str">
        <f>IF(NOT(ISBLANK(Audit[[#This Row],[Audit Candidate 5]])), Audit[[#This Row],[Audit Candidate 5]]-Audit[[#This Row],[Candidate 5]], "")</f>
        <v/>
      </c>
      <c r="AJ50" s="114" t="str">
        <f>IF(NOT(ISBLANK(Audit[[#This Row],[Audit Candidate 6]])), Audit[[#This Row],[Audit Candidate 6]]-Audit[[#This Row],[Candidate 6]], "")</f>
        <v/>
      </c>
      <c r="AK50" s="114" t="str">
        <f>IF(NOT(ISBLANK(Audit[[#This Row],[Audit Candidate 7]])), Audit[[#This Row],[Audit Candidate 7]]-Audit[[#This Row],[Candidate 7]], "")</f>
        <v/>
      </c>
      <c r="AL50" s="114" t="str">
        <f>IF(NOT(ISBLANK(Audit[[#This Row],[Audit Candidate 8]])), Audit[[#This Row],[Audit Candidate 8]]-Audit[[#This Row],[Candidate 8]], "")</f>
        <v/>
      </c>
      <c r="AM50" s="114" t="str">
        <f>IF(NOT(ISBLANK(Audit[[#This Row],[Audit Candidate 9]])), Audit[[#This Row],[Audit Candidate 9]]-Audit[[#This Row],[Candidate 9]], "")</f>
        <v/>
      </c>
      <c r="AN50" s="114" t="str">
        <f>IF(NOT(ISBLANK(Audit[[#This Row],[Audit Candidate 10]])), Audit[[#This Row],[Audit Candidate 10]]-Audit[[#This Row],[Candidate 10]], "")</f>
        <v/>
      </c>
      <c r="AO50" s="114" t="str">
        <f>IF(NOT(ISBLANK(Audit[[#This Row],[Audit Candidate 11]])), Audit[[#This Row],[Audit Candidate 11]]-Audit[[#This Row],[Candidate 11]], "")</f>
        <v/>
      </c>
      <c r="AP50" s="114" t="str">
        <f>IF(NOT(ISBLANK(Audit[[#This Row],[Audit Candidate 12]])), Audit[[#This Row],[Audit Candidate 12]]-Audit[[#This Row],[Candidate 12]], "")</f>
        <v/>
      </c>
      <c r="AQ50" s="114">
        <f>SUMIF(Audit[[#This Row],[Difference Winner]:[Difference Candidate 12]], "&gt;0")</f>
        <v>0</v>
      </c>
      <c r="AR50" s="114">
        <f>SUM(Audit[[#This Row],[Difference Winner]:[Difference Candidate 12]])</f>
        <v>0</v>
      </c>
      <c r="AS50" s="114">
        <f>IF(Audit[[#This Row],[Times p Drawn - With Replacement]]&gt;0, IF(Audit[[#This Row],[Canceled Differences]]&lt;0, Audit[[#This Row],[Max Differences]]+ABS(Audit[[#This Row],[Canceled Differences]]), Audit[[#This Row],[Max Differences]]), 0)</f>
        <v>0</v>
      </c>
      <c r="AT50" s="114">
        <f>'Sampling Data'!AB50</f>
        <v>0.60887949260042284</v>
      </c>
      <c r="AU50" s="114">
        <f>IF(
      SUM(Audit[[#This Row],[Audit Losing Candidate]:[Audit Candidate 12]])
      &lt;&gt;0,
      (Audit[[#This Row],[Winning Candidate]]-Audit[[#This Row],[Losing Candidate]]-(Audit[[#This Row],[Audit Winning Candidate]]-Audit[[#This Row],[Audit Losing Candidate]]))/(Audit[[#Totals],[Winning Candidate]]-Audit[[#Totals],[Losing Candidate]]),
      0
)</f>
        <v>0</v>
      </c>
      <c r="AV5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0" s="114">
        <f>IF(Audit[[#This Row],[Max Relative Error (ep)]] = 0, 0, Audit[[#This Row],[Max Relative Error (ep)]]/Audit[[#This Row],[Error Bound (up) - Max. possible relative overstatement]])</f>
        <v>0</v>
      </c>
      <c r="BH5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50" s="114">
        <f t="shared" si="1"/>
        <v>0.92489679263258173</v>
      </c>
      <c r="BJ50" s="114">
        <f>PRODUCT($BI$5:BI50)</f>
        <v>0.15354601921344257</v>
      </c>
      <c r="BK50" s="112">
        <f>1 - Audit[[#This Row],[K-M P Value]]</f>
        <v>0.84645398078655743</v>
      </c>
      <c r="BL50" s="114" t="str">
        <f>IF(Audit[[#This Row],[K-M P Value]]&gt;1-'General Info'!$B$12,"Continue", "Stop")</f>
        <v>Continue</v>
      </c>
      <c r="BM50" s="113" t="b">
        <f>IF(Audit[[#This Row],[Status - Continue or stop audit]] = "Continue", TRUE, IF(BL49 = "Continue", TRUE, FALSE))</f>
        <v>1</v>
      </c>
      <c r="BN50" s="113"/>
    </row>
    <row r="51" spans="1:66" ht="15" hidden="1" customHeight="1" x14ac:dyDescent="0.35">
      <c r="A51" s="114" t="str">
        <f>'Sampling Data'!AI51</f>
        <v/>
      </c>
      <c r="B51" s="114" t="str">
        <f>'Sampling Data'!A51</f>
        <v>7001 GLEN A   (ED)</v>
      </c>
      <c r="C51" s="114">
        <f>'Sampling Data'!B51</f>
        <v>160</v>
      </c>
      <c r="D51" s="114">
        <f>'Sampling Data'!C51</f>
        <v>122</v>
      </c>
      <c r="E51" s="115">
        <f>'Sampling Data'!D51</f>
        <v>0</v>
      </c>
      <c r="F51" s="115">
        <f>'Sampling Data'!E51</f>
        <v>0</v>
      </c>
      <c r="G51" s="115">
        <f>'Sampling Data'!F51</f>
        <v>0</v>
      </c>
      <c r="H51" s="115">
        <f>'Sampling Data'!G51</f>
        <v>0</v>
      </c>
      <c r="I51" s="115">
        <f>'Sampling Data'!H51</f>
        <v>0</v>
      </c>
      <c r="J51" s="115">
        <f>'Sampling Data'!I51</f>
        <v>0</v>
      </c>
      <c r="K51" s="115">
        <f>'Sampling Data'!J51</f>
        <v>0</v>
      </c>
      <c r="L51" s="115">
        <f>'Sampling Data'!K51</f>
        <v>0</v>
      </c>
      <c r="M51" s="115">
        <f>'Sampling Data'!L51</f>
        <v>0</v>
      </c>
      <c r="N51" s="115">
        <f>'Sampling Data'!M51</f>
        <v>0</v>
      </c>
      <c r="O51" s="114">
        <f>'Sampling Data'!N51</f>
        <v>0</v>
      </c>
      <c r="P51" s="114">
        <f>'Sampling Data'!O51</f>
        <v>0</v>
      </c>
      <c r="Q51" s="114">
        <f>'Sampling Data'!P51</f>
        <v>282</v>
      </c>
      <c r="R51" s="114">
        <f>'Sampling Data'!AJ51</f>
        <v>0</v>
      </c>
      <c r="S51" s="116"/>
      <c r="T51" s="116"/>
      <c r="U51" s="117"/>
      <c r="V51" s="117"/>
      <c r="W51" s="116"/>
      <c r="X51" s="116"/>
      <c r="Y51" s="116"/>
      <c r="Z51" s="116"/>
      <c r="AA51" s="15"/>
      <c r="AB51" s="15"/>
      <c r="AC51" s="15"/>
      <c r="AD51" s="15"/>
      <c r="AE51" s="118" t="str">
        <f>IF(NOT(ISBLANK(Audit[[#This Row],[Audit Winning Candidate]])), Audit[[#This Row],[Audit Winning Candidate]]-Audit[[#This Row],[Winning Candidate]], "")</f>
        <v/>
      </c>
      <c r="AF51" s="114" t="str">
        <f>IF(NOT(ISBLANK(Audit[[#This Row],[Audit Losing Candidate]])), Audit[[#This Row],[Audit Losing Candidate]]-Audit[[#This Row],[Losing Candidate]], "")</f>
        <v/>
      </c>
      <c r="AG51" s="114" t="str">
        <f>IF(NOT(ISBLANK(Audit[[#This Row],[Audit Candidate 3]])), Audit[[#This Row],[Audit Candidate 3]]-Audit[[#This Row],[Candidate 3]], "")</f>
        <v/>
      </c>
      <c r="AH51" s="114" t="str">
        <f>IF(NOT(ISBLANK(Audit[[#This Row],[Audit Candidate 4]])),Audit[[#This Row],[Audit Candidate 4]]-Audit[[#This Row],[Candidate 4]], "")</f>
        <v/>
      </c>
      <c r="AI51" s="114" t="str">
        <f>IF(NOT(ISBLANK(Audit[[#This Row],[Audit Candidate 5]])), Audit[[#This Row],[Audit Candidate 5]]-Audit[[#This Row],[Candidate 5]], "")</f>
        <v/>
      </c>
      <c r="AJ51" s="114" t="str">
        <f>IF(NOT(ISBLANK(Audit[[#This Row],[Audit Candidate 6]])), Audit[[#This Row],[Audit Candidate 6]]-Audit[[#This Row],[Candidate 6]], "")</f>
        <v/>
      </c>
      <c r="AK51" s="114" t="str">
        <f>IF(NOT(ISBLANK(Audit[[#This Row],[Audit Candidate 7]])), Audit[[#This Row],[Audit Candidate 7]]-Audit[[#This Row],[Candidate 7]], "")</f>
        <v/>
      </c>
      <c r="AL51" s="114" t="str">
        <f>IF(NOT(ISBLANK(Audit[[#This Row],[Audit Candidate 8]])), Audit[[#This Row],[Audit Candidate 8]]-Audit[[#This Row],[Candidate 8]], "")</f>
        <v/>
      </c>
      <c r="AM51" s="114" t="str">
        <f>IF(NOT(ISBLANK(Audit[[#This Row],[Audit Candidate 9]])), Audit[[#This Row],[Audit Candidate 9]]-Audit[[#This Row],[Candidate 9]], "")</f>
        <v/>
      </c>
      <c r="AN51" s="114" t="str">
        <f>IF(NOT(ISBLANK(Audit[[#This Row],[Audit Candidate 10]])), Audit[[#This Row],[Audit Candidate 10]]-Audit[[#This Row],[Candidate 10]], "")</f>
        <v/>
      </c>
      <c r="AO51" s="114" t="str">
        <f>IF(NOT(ISBLANK(Audit[[#This Row],[Audit Candidate 11]])), Audit[[#This Row],[Audit Candidate 11]]-Audit[[#This Row],[Candidate 11]], "")</f>
        <v/>
      </c>
      <c r="AP51" s="114" t="str">
        <f>IF(NOT(ISBLANK(Audit[[#This Row],[Audit Candidate 12]])), Audit[[#This Row],[Audit Candidate 12]]-Audit[[#This Row],[Candidate 12]], "")</f>
        <v/>
      </c>
      <c r="AQ51" s="114">
        <f>SUMIF(Audit[[#This Row],[Difference Winner]:[Difference Candidate 12]], "&gt;0")</f>
        <v>0</v>
      </c>
      <c r="AR51" s="114">
        <f>SUM(Audit[[#This Row],[Difference Winner]:[Difference Candidate 12]])</f>
        <v>0</v>
      </c>
      <c r="AS51" s="114">
        <f>IF(Audit[[#This Row],[Times p Drawn - With Replacement]]&gt;0, IF(Audit[[#This Row],[Canceled Differences]]&lt;0, Audit[[#This Row],[Max Differences]]+ABS(Audit[[#This Row],[Canceled Differences]]), Audit[[#This Row],[Max Differences]]), 0)</f>
        <v>0</v>
      </c>
      <c r="AT51" s="114">
        <f>'Sampling Data'!AB51</f>
        <v>0.67653276955602537</v>
      </c>
      <c r="AU51" s="114">
        <f>IF(
      SUM(Audit[[#This Row],[Audit Losing Candidate]:[Audit Candidate 12]])
      &lt;&gt;0,
      (Audit[[#This Row],[Winning Candidate]]-Audit[[#This Row],[Losing Candidate]]-(Audit[[#This Row],[Audit Winning Candidate]]-Audit[[#This Row],[Audit Losing Candidate]]))/(Audit[[#Totals],[Winning Candidate]]-Audit[[#Totals],[Losing Candidate]]),
      0
)</f>
        <v>0</v>
      </c>
      <c r="AV51"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1"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1"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1"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1"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1"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1"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1"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1"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1"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1"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1" s="114">
        <f>IF(Audit[[#This Row],[Max Relative Error (ep)]] = 0, 0, Audit[[#This Row],[Max Relative Error (ep)]]/Audit[[#This Row],[Error Bound (up) - Max. possible relative overstatement]])</f>
        <v>0</v>
      </c>
      <c r="BH51"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51" s="114">
        <f t="shared" si="1"/>
        <v>1</v>
      </c>
      <c r="BJ51" s="114">
        <f>PRODUCT($BI$5:BI51)</f>
        <v>0.15354601921344257</v>
      </c>
      <c r="BK51" s="112">
        <f>1 - Audit[[#This Row],[K-M P Value]]</f>
        <v>0.84645398078655743</v>
      </c>
      <c r="BL51" s="114" t="str">
        <f>IF(Audit[[#This Row],[K-M P Value]]&gt;1-'General Info'!$B$12,"Continue", "Stop")</f>
        <v>Continue</v>
      </c>
      <c r="BM51" s="113" t="b">
        <f>IF(Audit[[#This Row],[Status - Continue or stop audit]] = "Continue", TRUE, IF(BL50 = "Continue", TRUE, FALSE))</f>
        <v>1</v>
      </c>
      <c r="BN51" s="113"/>
    </row>
    <row r="52" spans="1:66" ht="15" customHeight="1" x14ac:dyDescent="0.35">
      <c r="A52" s="114">
        <f>'Sampling Data'!AI52</f>
        <v>4</v>
      </c>
      <c r="B52" s="114" t="str">
        <f>'Sampling Data'!A52</f>
        <v>7002 GLEN B   (ED)</v>
      </c>
      <c r="C52" s="114">
        <f>'Sampling Data'!B52</f>
        <v>154</v>
      </c>
      <c r="D52" s="114">
        <f>'Sampling Data'!C52</f>
        <v>149</v>
      </c>
      <c r="E52" s="115">
        <f>'Sampling Data'!D52</f>
        <v>0</v>
      </c>
      <c r="F52" s="115">
        <f>'Sampling Data'!E52</f>
        <v>0</v>
      </c>
      <c r="G52" s="115">
        <f>'Sampling Data'!F52</f>
        <v>0</v>
      </c>
      <c r="H52" s="115">
        <f>'Sampling Data'!G52</f>
        <v>0</v>
      </c>
      <c r="I52" s="115">
        <f>'Sampling Data'!H52</f>
        <v>0</v>
      </c>
      <c r="J52" s="115">
        <f>'Sampling Data'!I52</f>
        <v>0</v>
      </c>
      <c r="K52" s="115">
        <f>'Sampling Data'!J52</f>
        <v>0</v>
      </c>
      <c r="L52" s="115">
        <f>'Sampling Data'!K52</f>
        <v>0</v>
      </c>
      <c r="M52" s="115">
        <f>'Sampling Data'!L52</f>
        <v>0</v>
      </c>
      <c r="N52" s="115">
        <f>'Sampling Data'!M52</f>
        <v>0</v>
      </c>
      <c r="O52" s="114">
        <f>'Sampling Data'!N52</f>
        <v>0</v>
      </c>
      <c r="P52" s="114">
        <f>'Sampling Data'!O52</f>
        <v>0</v>
      </c>
      <c r="Q52" s="114">
        <f>'Sampling Data'!P52</f>
        <v>303</v>
      </c>
      <c r="R52" s="114">
        <f>'Sampling Data'!AJ52</f>
        <v>2</v>
      </c>
      <c r="S52" s="116">
        <v>154</v>
      </c>
      <c r="T52" s="116">
        <v>149</v>
      </c>
      <c r="U52" s="117"/>
      <c r="V52" s="117"/>
      <c r="W52" s="116"/>
      <c r="X52" s="116"/>
      <c r="Y52" s="116"/>
      <c r="Z52" s="116"/>
      <c r="AA52" s="15"/>
      <c r="AB52" s="15"/>
      <c r="AC52" s="15"/>
      <c r="AD52" s="15"/>
      <c r="AE52" s="118">
        <f>IF(NOT(ISBLANK(Audit[[#This Row],[Audit Winning Candidate]])), Audit[[#This Row],[Audit Winning Candidate]]-Audit[[#This Row],[Winning Candidate]], "")</f>
        <v>0</v>
      </c>
      <c r="AF52" s="114">
        <f>IF(NOT(ISBLANK(Audit[[#This Row],[Audit Losing Candidate]])), Audit[[#This Row],[Audit Losing Candidate]]-Audit[[#This Row],[Losing Candidate]], "")</f>
        <v>0</v>
      </c>
      <c r="AG52" s="114" t="str">
        <f>IF(NOT(ISBLANK(Audit[[#This Row],[Audit Candidate 3]])), Audit[[#This Row],[Audit Candidate 3]]-Audit[[#This Row],[Candidate 3]], "")</f>
        <v/>
      </c>
      <c r="AH52" s="114" t="str">
        <f>IF(NOT(ISBLANK(Audit[[#This Row],[Audit Candidate 4]])),Audit[[#This Row],[Audit Candidate 4]]-Audit[[#This Row],[Candidate 4]], "")</f>
        <v/>
      </c>
      <c r="AI52" s="114" t="str">
        <f>IF(NOT(ISBLANK(Audit[[#This Row],[Audit Candidate 5]])), Audit[[#This Row],[Audit Candidate 5]]-Audit[[#This Row],[Candidate 5]], "")</f>
        <v/>
      </c>
      <c r="AJ52" s="114" t="str">
        <f>IF(NOT(ISBLANK(Audit[[#This Row],[Audit Candidate 6]])), Audit[[#This Row],[Audit Candidate 6]]-Audit[[#This Row],[Candidate 6]], "")</f>
        <v/>
      </c>
      <c r="AK52" s="114" t="str">
        <f>IF(NOT(ISBLANK(Audit[[#This Row],[Audit Candidate 7]])), Audit[[#This Row],[Audit Candidate 7]]-Audit[[#This Row],[Candidate 7]], "")</f>
        <v/>
      </c>
      <c r="AL52" s="114" t="str">
        <f>IF(NOT(ISBLANK(Audit[[#This Row],[Audit Candidate 8]])), Audit[[#This Row],[Audit Candidate 8]]-Audit[[#This Row],[Candidate 8]], "")</f>
        <v/>
      </c>
      <c r="AM52" s="114" t="str">
        <f>IF(NOT(ISBLANK(Audit[[#This Row],[Audit Candidate 9]])), Audit[[#This Row],[Audit Candidate 9]]-Audit[[#This Row],[Candidate 9]], "")</f>
        <v/>
      </c>
      <c r="AN52" s="114" t="str">
        <f>IF(NOT(ISBLANK(Audit[[#This Row],[Audit Candidate 10]])), Audit[[#This Row],[Audit Candidate 10]]-Audit[[#This Row],[Candidate 10]], "")</f>
        <v/>
      </c>
      <c r="AO52" s="114" t="str">
        <f>IF(NOT(ISBLANK(Audit[[#This Row],[Audit Candidate 11]])), Audit[[#This Row],[Audit Candidate 11]]-Audit[[#This Row],[Candidate 11]], "")</f>
        <v/>
      </c>
      <c r="AP52" s="114" t="str">
        <f>IF(NOT(ISBLANK(Audit[[#This Row],[Audit Candidate 12]])), Audit[[#This Row],[Audit Candidate 12]]-Audit[[#This Row],[Candidate 12]], "")</f>
        <v/>
      </c>
      <c r="AQ52" s="114">
        <f>SUMIF(Audit[[#This Row],[Difference Winner]:[Difference Candidate 12]], "&gt;0")</f>
        <v>0</v>
      </c>
      <c r="AR52" s="114">
        <f>SUM(Audit[[#This Row],[Difference Winner]:[Difference Candidate 12]])</f>
        <v>0</v>
      </c>
      <c r="AS52" s="114">
        <f>IF(Audit[[#This Row],[Times p Drawn - With Replacement]]&gt;0, IF(Audit[[#This Row],[Canceled Differences]]&lt;0, Audit[[#This Row],[Max Differences]]+ABS(Audit[[#This Row],[Canceled Differences]]), Audit[[#This Row],[Max Differences]]), 0)</f>
        <v>0</v>
      </c>
      <c r="AT52" s="114">
        <f>'Sampling Data'!AB52</f>
        <v>0.65116279069767447</v>
      </c>
      <c r="AU52" s="114">
        <f>IF(
      SUM(Audit[[#This Row],[Audit Losing Candidate]:[Audit Candidate 12]])
      &lt;&gt;0,
      (Audit[[#This Row],[Winning Candidate]]-Audit[[#This Row],[Losing Candidate]]-(Audit[[#This Row],[Audit Winning Candidate]]-Audit[[#This Row],[Audit Losing Candidate]]))/(Audit[[#Totals],[Winning Candidate]]-Audit[[#Totals],[Losing Candidate]]),
      0
)</f>
        <v>0</v>
      </c>
      <c r="AV52"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2"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2"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2"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2"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2"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2"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2"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2"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2"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2"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2" s="114">
        <f>IF(Audit[[#This Row],[Max Relative Error (ep)]] = 0, 0, Audit[[#This Row],[Max Relative Error (ep)]]/Audit[[#This Row],[Error Bound (up) - Max. possible relative overstatement]])</f>
        <v>0</v>
      </c>
      <c r="BH52"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52" s="114">
        <f t="shared" si="1"/>
        <v>0.85543407702203689</v>
      </c>
      <c r="BJ52" s="114">
        <f>PRODUCT($BI$5:BI52)</f>
        <v>0.13134849722625919</v>
      </c>
      <c r="BK52" s="112">
        <f>1 - Audit[[#This Row],[K-M P Value]]</f>
        <v>0.86865150277374081</v>
      </c>
      <c r="BL52" s="114" t="str">
        <f>IF(Audit[[#This Row],[K-M P Value]]&gt;1-'General Info'!$B$12,"Continue", "Stop")</f>
        <v>Continue</v>
      </c>
      <c r="BM52" s="113" t="b">
        <f>IF(Audit[[#This Row],[Status - Continue or stop audit]] = "Continue", TRUE, IF(BL51 = "Continue", TRUE, FALSE))</f>
        <v>1</v>
      </c>
      <c r="BN52" s="113"/>
    </row>
    <row r="53" spans="1:66" ht="15" hidden="1" customHeight="1" x14ac:dyDescent="0.35">
      <c r="A53" s="114" t="str">
        <f>'Sampling Data'!AI53</f>
        <v/>
      </c>
      <c r="B53" s="114" t="str">
        <f>'Sampling Data'!A53</f>
        <v>7701 LIN HT A   (ED)</v>
      </c>
      <c r="C53" s="114">
        <f>'Sampling Data'!B53</f>
        <v>122</v>
      </c>
      <c r="D53" s="114">
        <f>'Sampling Data'!C53</f>
        <v>30</v>
      </c>
      <c r="E53" s="115">
        <f>'Sampling Data'!D53</f>
        <v>0</v>
      </c>
      <c r="F53" s="115">
        <f>'Sampling Data'!E53</f>
        <v>0</v>
      </c>
      <c r="G53" s="115">
        <f>'Sampling Data'!F53</f>
        <v>0</v>
      </c>
      <c r="H53" s="115">
        <f>'Sampling Data'!G53</f>
        <v>0</v>
      </c>
      <c r="I53" s="115">
        <f>'Sampling Data'!H53</f>
        <v>0</v>
      </c>
      <c r="J53" s="115">
        <f>'Sampling Data'!I53</f>
        <v>0</v>
      </c>
      <c r="K53" s="115">
        <f>'Sampling Data'!J53</f>
        <v>0</v>
      </c>
      <c r="L53" s="115">
        <f>'Sampling Data'!K53</f>
        <v>0</v>
      </c>
      <c r="M53" s="115">
        <f>'Sampling Data'!L53</f>
        <v>0</v>
      </c>
      <c r="N53" s="115">
        <f>'Sampling Data'!M53</f>
        <v>0</v>
      </c>
      <c r="O53" s="114">
        <f>'Sampling Data'!N53</f>
        <v>0</v>
      </c>
      <c r="P53" s="114">
        <f>'Sampling Data'!O53</f>
        <v>0</v>
      </c>
      <c r="Q53" s="114">
        <f>'Sampling Data'!P53</f>
        <v>152</v>
      </c>
      <c r="R53" s="114">
        <f>'Sampling Data'!AJ53</f>
        <v>0</v>
      </c>
      <c r="S53" s="116"/>
      <c r="T53" s="116"/>
      <c r="U53" s="117"/>
      <c r="V53" s="117"/>
      <c r="W53" s="116"/>
      <c r="X53" s="116"/>
      <c r="Y53" s="116"/>
      <c r="Z53" s="116"/>
      <c r="AA53" s="15"/>
      <c r="AB53" s="15"/>
      <c r="AC53" s="15"/>
      <c r="AD53" s="15"/>
      <c r="AE53" s="118" t="str">
        <f>IF(NOT(ISBLANK(Audit[[#This Row],[Audit Winning Candidate]])), Audit[[#This Row],[Audit Winning Candidate]]-Audit[[#This Row],[Winning Candidate]], "")</f>
        <v/>
      </c>
      <c r="AF53" s="114" t="str">
        <f>IF(NOT(ISBLANK(Audit[[#This Row],[Audit Losing Candidate]])), Audit[[#This Row],[Audit Losing Candidate]]-Audit[[#This Row],[Losing Candidate]], "")</f>
        <v/>
      </c>
      <c r="AG53" s="114" t="str">
        <f>IF(NOT(ISBLANK(Audit[[#This Row],[Audit Candidate 3]])), Audit[[#This Row],[Audit Candidate 3]]-Audit[[#This Row],[Candidate 3]], "")</f>
        <v/>
      </c>
      <c r="AH53" s="114" t="str">
        <f>IF(NOT(ISBLANK(Audit[[#This Row],[Audit Candidate 4]])),Audit[[#This Row],[Audit Candidate 4]]-Audit[[#This Row],[Candidate 4]], "")</f>
        <v/>
      </c>
      <c r="AI53" s="114" t="str">
        <f>IF(NOT(ISBLANK(Audit[[#This Row],[Audit Candidate 5]])), Audit[[#This Row],[Audit Candidate 5]]-Audit[[#This Row],[Candidate 5]], "")</f>
        <v/>
      </c>
      <c r="AJ53" s="114" t="str">
        <f>IF(NOT(ISBLANK(Audit[[#This Row],[Audit Candidate 6]])), Audit[[#This Row],[Audit Candidate 6]]-Audit[[#This Row],[Candidate 6]], "")</f>
        <v/>
      </c>
      <c r="AK53" s="114" t="str">
        <f>IF(NOT(ISBLANK(Audit[[#This Row],[Audit Candidate 7]])), Audit[[#This Row],[Audit Candidate 7]]-Audit[[#This Row],[Candidate 7]], "")</f>
        <v/>
      </c>
      <c r="AL53" s="114" t="str">
        <f>IF(NOT(ISBLANK(Audit[[#This Row],[Audit Candidate 8]])), Audit[[#This Row],[Audit Candidate 8]]-Audit[[#This Row],[Candidate 8]], "")</f>
        <v/>
      </c>
      <c r="AM53" s="114" t="str">
        <f>IF(NOT(ISBLANK(Audit[[#This Row],[Audit Candidate 9]])), Audit[[#This Row],[Audit Candidate 9]]-Audit[[#This Row],[Candidate 9]], "")</f>
        <v/>
      </c>
      <c r="AN53" s="114" t="str">
        <f>IF(NOT(ISBLANK(Audit[[#This Row],[Audit Candidate 10]])), Audit[[#This Row],[Audit Candidate 10]]-Audit[[#This Row],[Candidate 10]], "")</f>
        <v/>
      </c>
      <c r="AO53" s="114" t="str">
        <f>IF(NOT(ISBLANK(Audit[[#This Row],[Audit Candidate 11]])), Audit[[#This Row],[Audit Candidate 11]]-Audit[[#This Row],[Candidate 11]], "")</f>
        <v/>
      </c>
      <c r="AP53" s="114" t="str">
        <f>IF(NOT(ISBLANK(Audit[[#This Row],[Audit Candidate 12]])), Audit[[#This Row],[Audit Candidate 12]]-Audit[[#This Row],[Candidate 12]], "")</f>
        <v/>
      </c>
      <c r="AQ53" s="114">
        <f>SUMIF(Audit[[#This Row],[Difference Winner]:[Difference Candidate 12]], "&gt;0")</f>
        <v>0</v>
      </c>
      <c r="AR53" s="114">
        <f>SUM(Audit[[#This Row],[Difference Winner]:[Difference Candidate 12]])</f>
        <v>0</v>
      </c>
      <c r="AS53" s="114">
        <f>IF(Audit[[#This Row],[Times p Drawn - With Replacement]]&gt;0, IF(Audit[[#This Row],[Canceled Differences]]&lt;0, Audit[[#This Row],[Max Differences]]+ABS(Audit[[#This Row],[Canceled Differences]]), Audit[[#This Row],[Max Differences]]), 0)</f>
        <v>0</v>
      </c>
      <c r="AT53" s="114">
        <f>'Sampling Data'!AB53</f>
        <v>0.5158562367864693</v>
      </c>
      <c r="AU53" s="114">
        <f>IF(
      SUM(Audit[[#This Row],[Audit Losing Candidate]:[Audit Candidate 12]])
      &lt;&gt;0,
      (Audit[[#This Row],[Winning Candidate]]-Audit[[#This Row],[Losing Candidate]]-(Audit[[#This Row],[Audit Winning Candidate]]-Audit[[#This Row],[Audit Losing Candidate]]))/(Audit[[#Totals],[Winning Candidate]]-Audit[[#Totals],[Losing Candidate]]),
      0
)</f>
        <v>0</v>
      </c>
      <c r="AV53"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3"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3"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3"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3"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3"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3"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3"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3"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3"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3"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3" s="114">
        <f>IF(Audit[[#This Row],[Max Relative Error (ep)]] = 0, 0, Audit[[#This Row],[Max Relative Error (ep)]]/Audit[[#This Row],[Error Bound (up) - Max. possible relative overstatement]])</f>
        <v>0</v>
      </c>
      <c r="BH53"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53" s="114">
        <f t="shared" si="1"/>
        <v>1</v>
      </c>
      <c r="BJ53" s="114">
        <f>PRODUCT($BI$5:BI53)</f>
        <v>0.13134849722625919</v>
      </c>
      <c r="BK53" s="112">
        <f>1 - Audit[[#This Row],[K-M P Value]]</f>
        <v>0.86865150277374081</v>
      </c>
      <c r="BL53" s="114" t="str">
        <f>IF(Audit[[#This Row],[K-M P Value]]&gt;1-'General Info'!$B$12,"Continue", "Stop")</f>
        <v>Continue</v>
      </c>
      <c r="BM53" s="113" t="b">
        <f>IF(Audit[[#This Row],[Status - Continue or stop audit]] = "Continue", TRUE, IF(BL52 = "Continue", TRUE, FALSE))</f>
        <v>1</v>
      </c>
      <c r="BN53" s="113"/>
    </row>
    <row r="54" spans="1:66" ht="15" hidden="1" customHeight="1" x14ac:dyDescent="0.35">
      <c r="A54" s="114" t="str">
        <f>'Sampling Data'!AI54</f>
        <v/>
      </c>
      <c r="B54" s="114" t="str">
        <f>'Sampling Data'!A54</f>
        <v>7702 LIN HT B   (ED)</v>
      </c>
      <c r="C54" s="114">
        <f>'Sampling Data'!B54</f>
        <v>62</v>
      </c>
      <c r="D54" s="114">
        <f>'Sampling Data'!C54</f>
        <v>13</v>
      </c>
      <c r="E54" s="115">
        <f>'Sampling Data'!D54</f>
        <v>0</v>
      </c>
      <c r="F54" s="115">
        <f>'Sampling Data'!E54</f>
        <v>0</v>
      </c>
      <c r="G54" s="115">
        <f>'Sampling Data'!F54</f>
        <v>0</v>
      </c>
      <c r="H54" s="115">
        <f>'Sampling Data'!G54</f>
        <v>0</v>
      </c>
      <c r="I54" s="115">
        <f>'Sampling Data'!H54</f>
        <v>0</v>
      </c>
      <c r="J54" s="115">
        <f>'Sampling Data'!I54</f>
        <v>0</v>
      </c>
      <c r="K54" s="115">
        <f>'Sampling Data'!J54</f>
        <v>0</v>
      </c>
      <c r="L54" s="115">
        <f>'Sampling Data'!K54</f>
        <v>0</v>
      </c>
      <c r="M54" s="115">
        <f>'Sampling Data'!L54</f>
        <v>0</v>
      </c>
      <c r="N54" s="115">
        <f>'Sampling Data'!M54</f>
        <v>0</v>
      </c>
      <c r="O54" s="114">
        <f>'Sampling Data'!N54</f>
        <v>0</v>
      </c>
      <c r="P54" s="114">
        <f>'Sampling Data'!O54</f>
        <v>0</v>
      </c>
      <c r="Q54" s="114">
        <f>'Sampling Data'!P54</f>
        <v>75</v>
      </c>
      <c r="R54" s="114">
        <f>'Sampling Data'!AJ54</f>
        <v>0</v>
      </c>
      <c r="S54" s="116"/>
      <c r="T54" s="116"/>
      <c r="U54" s="117"/>
      <c r="V54" s="117"/>
      <c r="W54" s="116"/>
      <c r="X54" s="116"/>
      <c r="Y54" s="116"/>
      <c r="Z54" s="116"/>
      <c r="AA54" s="15"/>
      <c r="AB54" s="15"/>
      <c r="AC54" s="15"/>
      <c r="AD54" s="15"/>
      <c r="AE54" s="118" t="str">
        <f>IF(NOT(ISBLANK(Audit[[#This Row],[Audit Winning Candidate]])), Audit[[#This Row],[Audit Winning Candidate]]-Audit[[#This Row],[Winning Candidate]], "")</f>
        <v/>
      </c>
      <c r="AF54" s="114" t="str">
        <f>IF(NOT(ISBLANK(Audit[[#This Row],[Audit Losing Candidate]])), Audit[[#This Row],[Audit Losing Candidate]]-Audit[[#This Row],[Losing Candidate]], "")</f>
        <v/>
      </c>
      <c r="AG54" s="114" t="str">
        <f>IF(NOT(ISBLANK(Audit[[#This Row],[Audit Candidate 3]])), Audit[[#This Row],[Audit Candidate 3]]-Audit[[#This Row],[Candidate 3]], "")</f>
        <v/>
      </c>
      <c r="AH54" s="114" t="str">
        <f>IF(NOT(ISBLANK(Audit[[#This Row],[Audit Candidate 4]])),Audit[[#This Row],[Audit Candidate 4]]-Audit[[#This Row],[Candidate 4]], "")</f>
        <v/>
      </c>
      <c r="AI54" s="114" t="str">
        <f>IF(NOT(ISBLANK(Audit[[#This Row],[Audit Candidate 5]])), Audit[[#This Row],[Audit Candidate 5]]-Audit[[#This Row],[Candidate 5]], "")</f>
        <v/>
      </c>
      <c r="AJ54" s="114" t="str">
        <f>IF(NOT(ISBLANK(Audit[[#This Row],[Audit Candidate 6]])), Audit[[#This Row],[Audit Candidate 6]]-Audit[[#This Row],[Candidate 6]], "")</f>
        <v/>
      </c>
      <c r="AK54" s="114" t="str">
        <f>IF(NOT(ISBLANK(Audit[[#This Row],[Audit Candidate 7]])), Audit[[#This Row],[Audit Candidate 7]]-Audit[[#This Row],[Candidate 7]], "")</f>
        <v/>
      </c>
      <c r="AL54" s="114" t="str">
        <f>IF(NOT(ISBLANK(Audit[[#This Row],[Audit Candidate 8]])), Audit[[#This Row],[Audit Candidate 8]]-Audit[[#This Row],[Candidate 8]], "")</f>
        <v/>
      </c>
      <c r="AM54" s="114" t="str">
        <f>IF(NOT(ISBLANK(Audit[[#This Row],[Audit Candidate 9]])), Audit[[#This Row],[Audit Candidate 9]]-Audit[[#This Row],[Candidate 9]], "")</f>
        <v/>
      </c>
      <c r="AN54" s="114" t="str">
        <f>IF(NOT(ISBLANK(Audit[[#This Row],[Audit Candidate 10]])), Audit[[#This Row],[Audit Candidate 10]]-Audit[[#This Row],[Candidate 10]], "")</f>
        <v/>
      </c>
      <c r="AO54" s="114" t="str">
        <f>IF(NOT(ISBLANK(Audit[[#This Row],[Audit Candidate 11]])), Audit[[#This Row],[Audit Candidate 11]]-Audit[[#This Row],[Candidate 11]], "")</f>
        <v/>
      </c>
      <c r="AP54" s="114" t="str">
        <f>IF(NOT(ISBLANK(Audit[[#This Row],[Audit Candidate 12]])), Audit[[#This Row],[Audit Candidate 12]]-Audit[[#This Row],[Candidate 12]], "")</f>
        <v/>
      </c>
      <c r="AQ54" s="114">
        <f>SUMIF(Audit[[#This Row],[Difference Winner]:[Difference Candidate 12]], "&gt;0")</f>
        <v>0</v>
      </c>
      <c r="AR54" s="114">
        <f>SUM(Audit[[#This Row],[Difference Winner]:[Difference Candidate 12]])</f>
        <v>0</v>
      </c>
      <c r="AS54" s="114">
        <f>IF(Audit[[#This Row],[Times p Drawn - With Replacement]]&gt;0, IF(Audit[[#This Row],[Canceled Differences]]&lt;0, Audit[[#This Row],[Max Differences]]+ABS(Audit[[#This Row],[Canceled Differences]]), Audit[[#This Row],[Max Differences]]), 0)</f>
        <v>0</v>
      </c>
      <c r="AT54" s="114">
        <f>'Sampling Data'!AB54</f>
        <v>0.26215644820295986</v>
      </c>
      <c r="AU54" s="114">
        <f>IF(
      SUM(Audit[[#This Row],[Audit Losing Candidate]:[Audit Candidate 12]])
      &lt;&gt;0,
      (Audit[[#This Row],[Winning Candidate]]-Audit[[#This Row],[Losing Candidate]]-(Audit[[#This Row],[Audit Winning Candidate]]-Audit[[#This Row],[Audit Losing Candidate]]))/(Audit[[#Totals],[Winning Candidate]]-Audit[[#Totals],[Losing Candidate]]),
      0
)</f>
        <v>0</v>
      </c>
      <c r="AV54"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4"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4"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4"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4"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4"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4"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4"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4"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4"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4"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4" s="114">
        <f>IF(Audit[[#This Row],[Max Relative Error (ep)]] = 0, 0, Audit[[#This Row],[Max Relative Error (ep)]]/Audit[[#This Row],[Error Bound (up) - Max. possible relative overstatement]])</f>
        <v>0</v>
      </c>
      <c r="BH54"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54" s="114">
        <f t="shared" si="1"/>
        <v>1</v>
      </c>
      <c r="BJ54" s="114">
        <f>PRODUCT($BI$5:BI54)</f>
        <v>0.13134849722625919</v>
      </c>
      <c r="BK54" s="112">
        <f>1 - Audit[[#This Row],[K-M P Value]]</f>
        <v>0.86865150277374081</v>
      </c>
      <c r="BL54" s="114" t="str">
        <f>IF(Audit[[#This Row],[K-M P Value]]&gt;1-'General Info'!$B$12,"Continue", "Stop")</f>
        <v>Continue</v>
      </c>
      <c r="BM54" s="113" t="b">
        <f>IF(Audit[[#This Row],[Status - Continue or stop audit]] = "Continue", TRUE, IF(BL53 = "Continue", TRUE, FALSE))</f>
        <v>1</v>
      </c>
      <c r="BN54" s="113"/>
    </row>
    <row r="55" spans="1:66" ht="15" hidden="1" customHeight="1" x14ac:dyDescent="0.35">
      <c r="A55" s="114" t="str">
        <f>'Sampling Data'!AI55</f>
        <v/>
      </c>
      <c r="B55" s="114" t="str">
        <f>'Sampling Data'!A55</f>
        <v>8724 SPFLD X   (ED)</v>
      </c>
      <c r="C55" s="114">
        <f>'Sampling Data'!B55</f>
        <v>32</v>
      </c>
      <c r="D55" s="114">
        <f>'Sampling Data'!C55</f>
        <v>17</v>
      </c>
      <c r="E55" s="115">
        <f>'Sampling Data'!D55</f>
        <v>0</v>
      </c>
      <c r="F55" s="115">
        <f>'Sampling Data'!E55</f>
        <v>0</v>
      </c>
      <c r="G55" s="115">
        <f>'Sampling Data'!F55</f>
        <v>0</v>
      </c>
      <c r="H55" s="115">
        <f>'Sampling Data'!G55</f>
        <v>0</v>
      </c>
      <c r="I55" s="115">
        <f>'Sampling Data'!H55</f>
        <v>0</v>
      </c>
      <c r="J55" s="115">
        <f>'Sampling Data'!I55</f>
        <v>0</v>
      </c>
      <c r="K55" s="115">
        <f>'Sampling Data'!J55</f>
        <v>0</v>
      </c>
      <c r="L55" s="115">
        <f>'Sampling Data'!K55</f>
        <v>0</v>
      </c>
      <c r="M55" s="115">
        <f>'Sampling Data'!L55</f>
        <v>0</v>
      </c>
      <c r="N55" s="115">
        <f>'Sampling Data'!M55</f>
        <v>0</v>
      </c>
      <c r="O55" s="114">
        <f>'Sampling Data'!N55</f>
        <v>0</v>
      </c>
      <c r="P55" s="114">
        <f>'Sampling Data'!O55</f>
        <v>0</v>
      </c>
      <c r="Q55" s="114">
        <f>'Sampling Data'!P55</f>
        <v>49</v>
      </c>
      <c r="R55" s="114">
        <f>'Sampling Data'!AJ55</f>
        <v>0</v>
      </c>
      <c r="S55" s="116"/>
      <c r="T55" s="116"/>
      <c r="U55" s="117"/>
      <c r="V55" s="117"/>
      <c r="W55" s="116"/>
      <c r="X55" s="116"/>
      <c r="Y55" s="116"/>
      <c r="Z55" s="116"/>
      <c r="AA55" s="15"/>
      <c r="AB55" s="15"/>
      <c r="AC55" s="15"/>
      <c r="AD55" s="15"/>
      <c r="AE55" s="118" t="str">
        <f>IF(NOT(ISBLANK(Audit[[#This Row],[Audit Winning Candidate]])), Audit[[#This Row],[Audit Winning Candidate]]-Audit[[#This Row],[Winning Candidate]], "")</f>
        <v/>
      </c>
      <c r="AF55" s="114" t="str">
        <f>IF(NOT(ISBLANK(Audit[[#This Row],[Audit Losing Candidate]])), Audit[[#This Row],[Audit Losing Candidate]]-Audit[[#This Row],[Losing Candidate]], "")</f>
        <v/>
      </c>
      <c r="AG55" s="114" t="str">
        <f>IF(NOT(ISBLANK(Audit[[#This Row],[Audit Candidate 3]])), Audit[[#This Row],[Audit Candidate 3]]-Audit[[#This Row],[Candidate 3]], "")</f>
        <v/>
      </c>
      <c r="AH55" s="114" t="str">
        <f>IF(NOT(ISBLANK(Audit[[#This Row],[Audit Candidate 4]])),Audit[[#This Row],[Audit Candidate 4]]-Audit[[#This Row],[Candidate 4]], "")</f>
        <v/>
      </c>
      <c r="AI55" s="114" t="str">
        <f>IF(NOT(ISBLANK(Audit[[#This Row],[Audit Candidate 5]])), Audit[[#This Row],[Audit Candidate 5]]-Audit[[#This Row],[Candidate 5]], "")</f>
        <v/>
      </c>
      <c r="AJ55" s="114" t="str">
        <f>IF(NOT(ISBLANK(Audit[[#This Row],[Audit Candidate 6]])), Audit[[#This Row],[Audit Candidate 6]]-Audit[[#This Row],[Candidate 6]], "")</f>
        <v/>
      </c>
      <c r="AK55" s="114" t="str">
        <f>IF(NOT(ISBLANK(Audit[[#This Row],[Audit Candidate 7]])), Audit[[#This Row],[Audit Candidate 7]]-Audit[[#This Row],[Candidate 7]], "")</f>
        <v/>
      </c>
      <c r="AL55" s="114" t="str">
        <f>IF(NOT(ISBLANK(Audit[[#This Row],[Audit Candidate 8]])), Audit[[#This Row],[Audit Candidate 8]]-Audit[[#This Row],[Candidate 8]], "")</f>
        <v/>
      </c>
      <c r="AM55" s="114" t="str">
        <f>IF(NOT(ISBLANK(Audit[[#This Row],[Audit Candidate 9]])), Audit[[#This Row],[Audit Candidate 9]]-Audit[[#This Row],[Candidate 9]], "")</f>
        <v/>
      </c>
      <c r="AN55" s="114" t="str">
        <f>IF(NOT(ISBLANK(Audit[[#This Row],[Audit Candidate 10]])), Audit[[#This Row],[Audit Candidate 10]]-Audit[[#This Row],[Candidate 10]], "")</f>
        <v/>
      </c>
      <c r="AO55" s="114" t="str">
        <f>IF(NOT(ISBLANK(Audit[[#This Row],[Audit Candidate 11]])), Audit[[#This Row],[Audit Candidate 11]]-Audit[[#This Row],[Candidate 11]], "")</f>
        <v/>
      </c>
      <c r="AP55" s="114" t="str">
        <f>IF(NOT(ISBLANK(Audit[[#This Row],[Audit Candidate 12]])), Audit[[#This Row],[Audit Candidate 12]]-Audit[[#This Row],[Candidate 12]], "")</f>
        <v/>
      </c>
      <c r="AQ55" s="114">
        <f>SUMIF(Audit[[#This Row],[Difference Winner]:[Difference Candidate 12]], "&gt;0")</f>
        <v>0</v>
      </c>
      <c r="AR55" s="114">
        <f>SUM(Audit[[#This Row],[Difference Winner]:[Difference Candidate 12]])</f>
        <v>0</v>
      </c>
      <c r="AS55" s="114">
        <f>IF(Audit[[#This Row],[Times p Drawn - With Replacement]]&gt;0, IF(Audit[[#This Row],[Canceled Differences]]&lt;0, Audit[[#This Row],[Max Differences]]+ABS(Audit[[#This Row],[Canceled Differences]]), Audit[[#This Row],[Max Differences]]), 0)</f>
        <v>0</v>
      </c>
      <c r="AT55" s="114">
        <f>'Sampling Data'!AB55</f>
        <v>0.13530655391120508</v>
      </c>
      <c r="AU55" s="114">
        <f>IF(
      SUM(Audit[[#This Row],[Audit Losing Candidate]:[Audit Candidate 12]])
      &lt;&gt;0,
      (Audit[[#This Row],[Winning Candidate]]-Audit[[#This Row],[Losing Candidate]]-(Audit[[#This Row],[Audit Winning Candidate]]-Audit[[#This Row],[Audit Losing Candidate]]))/(Audit[[#Totals],[Winning Candidate]]-Audit[[#Totals],[Losing Candidate]]),
      0
)</f>
        <v>0</v>
      </c>
      <c r="AV55"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5"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5"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5"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5"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5"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5"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5"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5"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5"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5"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5" s="114">
        <f>IF(Audit[[#This Row],[Max Relative Error (ep)]] = 0, 0, Audit[[#This Row],[Max Relative Error (ep)]]/Audit[[#This Row],[Error Bound (up) - Max. possible relative overstatement]])</f>
        <v>0</v>
      </c>
      <c r="BH55"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55" s="114">
        <f t="shared" si="1"/>
        <v>1</v>
      </c>
      <c r="BJ55" s="114">
        <f>PRODUCT($BI$5:BI55)</f>
        <v>0.13134849722625919</v>
      </c>
      <c r="BK55" s="112">
        <f>1 - Audit[[#This Row],[K-M P Value]]</f>
        <v>0.86865150277374081</v>
      </c>
      <c r="BL55" s="114" t="str">
        <f>IF(Audit[[#This Row],[K-M P Value]]&gt;1-'General Info'!$B$12,"Continue", "Stop")</f>
        <v>Continue</v>
      </c>
      <c r="BM55" s="113" t="b">
        <f>IF(Audit[[#This Row],[Status - Continue or stop audit]] = "Continue", TRUE, IF(BL54 = "Continue", TRUE, FALSE))</f>
        <v>1</v>
      </c>
      <c r="BN55" s="113"/>
    </row>
    <row r="56" spans="1:66" ht="15" hidden="1" customHeight="1" x14ac:dyDescent="0.35">
      <c r="A56" s="114" t="str">
        <f>'Sampling Data'!AI56</f>
        <v/>
      </c>
      <c r="B56" s="114" t="str">
        <f>'Sampling Data'!A56</f>
        <v>8902 SYCAM B   (ED)</v>
      </c>
      <c r="C56" s="114">
        <f>'Sampling Data'!B56</f>
        <v>71</v>
      </c>
      <c r="D56" s="114">
        <f>'Sampling Data'!C56</f>
        <v>162</v>
      </c>
      <c r="E56" s="115">
        <f>'Sampling Data'!D56</f>
        <v>0</v>
      </c>
      <c r="F56" s="115">
        <f>'Sampling Data'!E56</f>
        <v>0</v>
      </c>
      <c r="G56" s="115">
        <f>'Sampling Data'!F56</f>
        <v>0</v>
      </c>
      <c r="H56" s="115">
        <f>'Sampling Data'!G56</f>
        <v>0</v>
      </c>
      <c r="I56" s="115">
        <f>'Sampling Data'!H56</f>
        <v>0</v>
      </c>
      <c r="J56" s="115">
        <f>'Sampling Data'!I56</f>
        <v>0</v>
      </c>
      <c r="K56" s="115">
        <f>'Sampling Data'!J56</f>
        <v>0</v>
      </c>
      <c r="L56" s="115">
        <f>'Sampling Data'!K56</f>
        <v>0</v>
      </c>
      <c r="M56" s="115">
        <f>'Sampling Data'!L56</f>
        <v>0</v>
      </c>
      <c r="N56" s="115">
        <f>'Sampling Data'!M56</f>
        <v>0</v>
      </c>
      <c r="O56" s="114">
        <f>'Sampling Data'!N56</f>
        <v>0</v>
      </c>
      <c r="P56" s="114">
        <f>'Sampling Data'!O56</f>
        <v>0</v>
      </c>
      <c r="Q56" s="114">
        <f>'Sampling Data'!P56</f>
        <v>233</v>
      </c>
      <c r="R56" s="114">
        <f>'Sampling Data'!AJ56</f>
        <v>0</v>
      </c>
      <c r="S56" s="116"/>
      <c r="T56" s="116"/>
      <c r="U56" s="117"/>
      <c r="V56" s="117"/>
      <c r="W56" s="116"/>
      <c r="X56" s="116"/>
      <c r="Y56" s="116"/>
      <c r="Z56" s="116"/>
      <c r="AA56" s="15"/>
      <c r="AB56" s="15"/>
      <c r="AC56" s="15"/>
      <c r="AD56" s="15"/>
      <c r="AE56" s="118" t="str">
        <f>IF(NOT(ISBLANK(Audit[[#This Row],[Audit Winning Candidate]])), Audit[[#This Row],[Audit Winning Candidate]]-Audit[[#This Row],[Winning Candidate]], "")</f>
        <v/>
      </c>
      <c r="AF56" s="114" t="str">
        <f>IF(NOT(ISBLANK(Audit[[#This Row],[Audit Losing Candidate]])), Audit[[#This Row],[Audit Losing Candidate]]-Audit[[#This Row],[Losing Candidate]], "")</f>
        <v/>
      </c>
      <c r="AG56" s="114" t="str">
        <f>IF(NOT(ISBLANK(Audit[[#This Row],[Audit Candidate 3]])), Audit[[#This Row],[Audit Candidate 3]]-Audit[[#This Row],[Candidate 3]], "")</f>
        <v/>
      </c>
      <c r="AH56" s="114" t="str">
        <f>IF(NOT(ISBLANK(Audit[[#This Row],[Audit Candidate 4]])),Audit[[#This Row],[Audit Candidate 4]]-Audit[[#This Row],[Candidate 4]], "")</f>
        <v/>
      </c>
      <c r="AI56" s="114" t="str">
        <f>IF(NOT(ISBLANK(Audit[[#This Row],[Audit Candidate 5]])), Audit[[#This Row],[Audit Candidate 5]]-Audit[[#This Row],[Candidate 5]], "")</f>
        <v/>
      </c>
      <c r="AJ56" s="114" t="str">
        <f>IF(NOT(ISBLANK(Audit[[#This Row],[Audit Candidate 6]])), Audit[[#This Row],[Audit Candidate 6]]-Audit[[#This Row],[Candidate 6]], "")</f>
        <v/>
      </c>
      <c r="AK56" s="114" t="str">
        <f>IF(NOT(ISBLANK(Audit[[#This Row],[Audit Candidate 7]])), Audit[[#This Row],[Audit Candidate 7]]-Audit[[#This Row],[Candidate 7]], "")</f>
        <v/>
      </c>
      <c r="AL56" s="114" t="str">
        <f>IF(NOT(ISBLANK(Audit[[#This Row],[Audit Candidate 8]])), Audit[[#This Row],[Audit Candidate 8]]-Audit[[#This Row],[Candidate 8]], "")</f>
        <v/>
      </c>
      <c r="AM56" s="114" t="str">
        <f>IF(NOT(ISBLANK(Audit[[#This Row],[Audit Candidate 9]])), Audit[[#This Row],[Audit Candidate 9]]-Audit[[#This Row],[Candidate 9]], "")</f>
        <v/>
      </c>
      <c r="AN56" s="114" t="str">
        <f>IF(NOT(ISBLANK(Audit[[#This Row],[Audit Candidate 10]])), Audit[[#This Row],[Audit Candidate 10]]-Audit[[#This Row],[Candidate 10]], "")</f>
        <v/>
      </c>
      <c r="AO56" s="114" t="str">
        <f>IF(NOT(ISBLANK(Audit[[#This Row],[Audit Candidate 11]])), Audit[[#This Row],[Audit Candidate 11]]-Audit[[#This Row],[Candidate 11]], "")</f>
        <v/>
      </c>
      <c r="AP56" s="114" t="str">
        <f>IF(NOT(ISBLANK(Audit[[#This Row],[Audit Candidate 12]])), Audit[[#This Row],[Audit Candidate 12]]-Audit[[#This Row],[Candidate 12]], "")</f>
        <v/>
      </c>
      <c r="AQ56" s="114">
        <f>SUMIF(Audit[[#This Row],[Difference Winner]:[Difference Candidate 12]], "&gt;0")</f>
        <v>0</v>
      </c>
      <c r="AR56" s="114">
        <f>SUM(Audit[[#This Row],[Difference Winner]:[Difference Candidate 12]])</f>
        <v>0</v>
      </c>
      <c r="AS56" s="114">
        <f>IF(Audit[[#This Row],[Times p Drawn - With Replacement]]&gt;0, IF(Audit[[#This Row],[Canceled Differences]]&lt;0, Audit[[#This Row],[Max Differences]]+ABS(Audit[[#This Row],[Canceled Differences]]), Audit[[#This Row],[Max Differences]]), 0)</f>
        <v>0</v>
      </c>
      <c r="AT56" s="114">
        <f>'Sampling Data'!AB56</f>
        <v>0.30021141649048627</v>
      </c>
      <c r="AU56" s="114">
        <f>IF(
      SUM(Audit[[#This Row],[Audit Losing Candidate]:[Audit Candidate 12]])
      &lt;&gt;0,
      (Audit[[#This Row],[Winning Candidate]]-Audit[[#This Row],[Losing Candidate]]-(Audit[[#This Row],[Audit Winning Candidate]]-Audit[[#This Row],[Audit Losing Candidate]]))/(Audit[[#Totals],[Winning Candidate]]-Audit[[#Totals],[Losing Candidate]]),
      0
)</f>
        <v>0</v>
      </c>
      <c r="AV56"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6"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6"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6"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6"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6"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6"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6"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6"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6"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6"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6" s="114">
        <f>IF(Audit[[#This Row],[Max Relative Error (ep)]] = 0, 0, Audit[[#This Row],[Max Relative Error (ep)]]/Audit[[#This Row],[Error Bound (up) - Max. possible relative overstatement]])</f>
        <v>0</v>
      </c>
      <c r="BH56"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56" s="114">
        <f t="shared" si="1"/>
        <v>1</v>
      </c>
      <c r="BJ56" s="114">
        <f>PRODUCT($BI$5:BI56)</f>
        <v>0.13134849722625919</v>
      </c>
      <c r="BK56" s="112">
        <f>1 - Audit[[#This Row],[K-M P Value]]</f>
        <v>0.86865150277374081</v>
      </c>
      <c r="BL56" s="114" t="str">
        <f>IF(Audit[[#This Row],[K-M P Value]]&gt;1-'General Info'!$B$12,"Continue", "Stop")</f>
        <v>Continue</v>
      </c>
      <c r="BM56" s="113" t="b">
        <f>IF(Audit[[#This Row],[Status - Continue or stop audit]] = "Continue", TRUE, IF(BL55 = "Continue", TRUE, FALSE))</f>
        <v>1</v>
      </c>
      <c r="BN56" s="113"/>
    </row>
    <row r="57" spans="1:66" ht="15" hidden="1" customHeight="1" x14ac:dyDescent="0.35">
      <c r="A57" s="114" t="str">
        <f>'Sampling Data'!AI57</f>
        <v/>
      </c>
      <c r="B57" s="114" t="str">
        <f>'Sampling Data'!A57</f>
        <v>8904 SYCAM D   (ED)</v>
      </c>
      <c r="C57" s="114">
        <f>'Sampling Data'!B57</f>
        <v>34</v>
      </c>
      <c r="D57" s="114">
        <f>'Sampling Data'!C57</f>
        <v>50</v>
      </c>
      <c r="E57" s="115">
        <f>'Sampling Data'!D57</f>
        <v>0</v>
      </c>
      <c r="F57" s="115">
        <f>'Sampling Data'!E57</f>
        <v>0</v>
      </c>
      <c r="G57" s="115">
        <f>'Sampling Data'!F57</f>
        <v>0</v>
      </c>
      <c r="H57" s="115">
        <f>'Sampling Data'!G57</f>
        <v>0</v>
      </c>
      <c r="I57" s="115">
        <f>'Sampling Data'!H57</f>
        <v>0</v>
      </c>
      <c r="J57" s="115">
        <f>'Sampling Data'!I57</f>
        <v>0</v>
      </c>
      <c r="K57" s="115">
        <f>'Sampling Data'!J57</f>
        <v>0</v>
      </c>
      <c r="L57" s="115">
        <f>'Sampling Data'!K57</f>
        <v>0</v>
      </c>
      <c r="M57" s="115">
        <f>'Sampling Data'!L57</f>
        <v>0</v>
      </c>
      <c r="N57" s="115">
        <f>'Sampling Data'!M57</f>
        <v>0</v>
      </c>
      <c r="O57" s="114">
        <f>'Sampling Data'!N57</f>
        <v>0</v>
      </c>
      <c r="P57" s="114">
        <f>'Sampling Data'!O57</f>
        <v>0</v>
      </c>
      <c r="Q57" s="114">
        <f>'Sampling Data'!P57</f>
        <v>84</v>
      </c>
      <c r="R57" s="114">
        <f>'Sampling Data'!AJ57</f>
        <v>0</v>
      </c>
      <c r="S57" s="116"/>
      <c r="T57" s="116"/>
      <c r="U57" s="117"/>
      <c r="V57" s="117"/>
      <c r="W57" s="116"/>
      <c r="X57" s="116"/>
      <c r="Y57" s="116"/>
      <c r="Z57" s="116"/>
      <c r="AA57" s="15"/>
      <c r="AB57" s="15"/>
      <c r="AC57" s="15"/>
      <c r="AD57" s="15"/>
      <c r="AE57" s="118" t="str">
        <f>IF(NOT(ISBLANK(Audit[[#This Row],[Audit Winning Candidate]])), Audit[[#This Row],[Audit Winning Candidate]]-Audit[[#This Row],[Winning Candidate]], "")</f>
        <v/>
      </c>
      <c r="AF57" s="114" t="str">
        <f>IF(NOT(ISBLANK(Audit[[#This Row],[Audit Losing Candidate]])), Audit[[#This Row],[Audit Losing Candidate]]-Audit[[#This Row],[Losing Candidate]], "")</f>
        <v/>
      </c>
      <c r="AG57" s="114" t="str">
        <f>IF(NOT(ISBLANK(Audit[[#This Row],[Audit Candidate 3]])), Audit[[#This Row],[Audit Candidate 3]]-Audit[[#This Row],[Candidate 3]], "")</f>
        <v/>
      </c>
      <c r="AH57" s="114" t="str">
        <f>IF(NOT(ISBLANK(Audit[[#This Row],[Audit Candidate 4]])),Audit[[#This Row],[Audit Candidate 4]]-Audit[[#This Row],[Candidate 4]], "")</f>
        <v/>
      </c>
      <c r="AI57" s="114" t="str">
        <f>IF(NOT(ISBLANK(Audit[[#This Row],[Audit Candidate 5]])), Audit[[#This Row],[Audit Candidate 5]]-Audit[[#This Row],[Candidate 5]], "")</f>
        <v/>
      </c>
      <c r="AJ57" s="114" t="str">
        <f>IF(NOT(ISBLANK(Audit[[#This Row],[Audit Candidate 6]])), Audit[[#This Row],[Audit Candidate 6]]-Audit[[#This Row],[Candidate 6]], "")</f>
        <v/>
      </c>
      <c r="AK57" s="114" t="str">
        <f>IF(NOT(ISBLANK(Audit[[#This Row],[Audit Candidate 7]])), Audit[[#This Row],[Audit Candidate 7]]-Audit[[#This Row],[Candidate 7]], "")</f>
        <v/>
      </c>
      <c r="AL57" s="114" t="str">
        <f>IF(NOT(ISBLANK(Audit[[#This Row],[Audit Candidate 8]])), Audit[[#This Row],[Audit Candidate 8]]-Audit[[#This Row],[Candidate 8]], "")</f>
        <v/>
      </c>
      <c r="AM57" s="114" t="str">
        <f>IF(NOT(ISBLANK(Audit[[#This Row],[Audit Candidate 9]])), Audit[[#This Row],[Audit Candidate 9]]-Audit[[#This Row],[Candidate 9]], "")</f>
        <v/>
      </c>
      <c r="AN57" s="114" t="str">
        <f>IF(NOT(ISBLANK(Audit[[#This Row],[Audit Candidate 10]])), Audit[[#This Row],[Audit Candidate 10]]-Audit[[#This Row],[Candidate 10]], "")</f>
        <v/>
      </c>
      <c r="AO57" s="114" t="str">
        <f>IF(NOT(ISBLANK(Audit[[#This Row],[Audit Candidate 11]])), Audit[[#This Row],[Audit Candidate 11]]-Audit[[#This Row],[Candidate 11]], "")</f>
        <v/>
      </c>
      <c r="AP57" s="114" t="str">
        <f>IF(NOT(ISBLANK(Audit[[#This Row],[Audit Candidate 12]])), Audit[[#This Row],[Audit Candidate 12]]-Audit[[#This Row],[Candidate 12]], "")</f>
        <v/>
      </c>
      <c r="AQ57" s="114">
        <f>SUMIF(Audit[[#This Row],[Difference Winner]:[Difference Candidate 12]], "&gt;0")</f>
        <v>0</v>
      </c>
      <c r="AR57" s="114">
        <f>SUM(Audit[[#This Row],[Difference Winner]:[Difference Candidate 12]])</f>
        <v>0</v>
      </c>
      <c r="AS57" s="114">
        <f>IF(Audit[[#This Row],[Times p Drawn - With Replacement]]&gt;0, IF(Audit[[#This Row],[Canceled Differences]]&lt;0, Audit[[#This Row],[Max Differences]]+ABS(Audit[[#This Row],[Canceled Differences]]), Audit[[#This Row],[Max Differences]]), 0)</f>
        <v>0</v>
      </c>
      <c r="AT57" s="114">
        <f>'Sampling Data'!AB57</f>
        <v>0.14376321353065538</v>
      </c>
      <c r="AU57" s="114">
        <f>IF(
      SUM(Audit[[#This Row],[Audit Losing Candidate]:[Audit Candidate 12]])
      &lt;&gt;0,
      (Audit[[#This Row],[Winning Candidate]]-Audit[[#This Row],[Losing Candidate]]-(Audit[[#This Row],[Audit Winning Candidate]]-Audit[[#This Row],[Audit Losing Candidate]]))/(Audit[[#Totals],[Winning Candidate]]-Audit[[#Totals],[Losing Candidate]]),
      0
)</f>
        <v>0</v>
      </c>
      <c r="AV57"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7"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7"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7"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7"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7"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7"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7"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7"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7"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7"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7" s="114">
        <f>IF(Audit[[#This Row],[Max Relative Error (ep)]] = 0, 0, Audit[[#This Row],[Max Relative Error (ep)]]/Audit[[#This Row],[Error Bound (up) - Max. possible relative overstatement]])</f>
        <v>0</v>
      </c>
      <c r="BH57"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57" s="114">
        <f t="shared" si="1"/>
        <v>1</v>
      </c>
      <c r="BJ57" s="114">
        <f>PRODUCT($BI$5:BI57)</f>
        <v>0.13134849722625919</v>
      </c>
      <c r="BK57" s="112">
        <f>1 - Audit[[#This Row],[K-M P Value]]</f>
        <v>0.86865150277374081</v>
      </c>
      <c r="BL57" s="114" t="str">
        <f>IF(Audit[[#This Row],[K-M P Value]]&gt;1-'General Info'!$B$12,"Continue", "Stop")</f>
        <v>Continue</v>
      </c>
      <c r="BM57" s="113" t="b">
        <f>IF(Audit[[#This Row],[Status - Continue or stop audit]] = "Continue", TRUE, IF(BL56 = "Continue", TRUE, FALSE))</f>
        <v>1</v>
      </c>
      <c r="BN57" s="113"/>
    </row>
    <row r="58" spans="1:66" ht="15" customHeight="1" x14ac:dyDescent="0.35">
      <c r="A58" s="114">
        <f>'Sampling Data'!AI58</f>
        <v>1</v>
      </c>
      <c r="B58" s="114" t="str">
        <f>'Sampling Data'!A58</f>
        <v>8909 SYCAM I   (ED)</v>
      </c>
      <c r="C58" s="114">
        <f>'Sampling Data'!B58</f>
        <v>81</v>
      </c>
      <c r="D58" s="114">
        <f>'Sampling Data'!C58</f>
        <v>115</v>
      </c>
      <c r="E58" s="115">
        <f>'Sampling Data'!D58</f>
        <v>0</v>
      </c>
      <c r="F58" s="115">
        <f>'Sampling Data'!E58</f>
        <v>0</v>
      </c>
      <c r="G58" s="115">
        <f>'Sampling Data'!F58</f>
        <v>0</v>
      </c>
      <c r="H58" s="115">
        <f>'Sampling Data'!G58</f>
        <v>0</v>
      </c>
      <c r="I58" s="115">
        <f>'Sampling Data'!H58</f>
        <v>0</v>
      </c>
      <c r="J58" s="115">
        <f>'Sampling Data'!I58</f>
        <v>0</v>
      </c>
      <c r="K58" s="115">
        <f>'Sampling Data'!J58</f>
        <v>0</v>
      </c>
      <c r="L58" s="115">
        <f>'Sampling Data'!K58</f>
        <v>0</v>
      </c>
      <c r="M58" s="115">
        <f>'Sampling Data'!L58</f>
        <v>0</v>
      </c>
      <c r="N58" s="115">
        <f>'Sampling Data'!M58</f>
        <v>0</v>
      </c>
      <c r="O58" s="114">
        <f>'Sampling Data'!N58</f>
        <v>0</v>
      </c>
      <c r="P58" s="114">
        <f>'Sampling Data'!O58</f>
        <v>0</v>
      </c>
      <c r="Q58" s="114">
        <f>'Sampling Data'!P58</f>
        <v>196</v>
      </c>
      <c r="R58" s="114">
        <f>'Sampling Data'!AJ58</f>
        <v>2</v>
      </c>
      <c r="S58" s="116">
        <v>81</v>
      </c>
      <c r="T58" s="116">
        <v>115</v>
      </c>
      <c r="U58" s="117"/>
      <c r="V58" s="117"/>
      <c r="W58" s="116"/>
      <c r="X58" s="116"/>
      <c r="Y58" s="116"/>
      <c r="Z58" s="116"/>
      <c r="AA58" s="15"/>
      <c r="AB58" s="15"/>
      <c r="AC58" s="15"/>
      <c r="AD58" s="15"/>
      <c r="AE58" s="118">
        <f>IF(NOT(ISBLANK(Audit[[#This Row],[Audit Winning Candidate]])), Audit[[#This Row],[Audit Winning Candidate]]-Audit[[#This Row],[Winning Candidate]], "")</f>
        <v>0</v>
      </c>
      <c r="AF58" s="114">
        <f>IF(NOT(ISBLANK(Audit[[#This Row],[Audit Losing Candidate]])), Audit[[#This Row],[Audit Losing Candidate]]-Audit[[#This Row],[Losing Candidate]], "")</f>
        <v>0</v>
      </c>
      <c r="AG58" s="114" t="str">
        <f>IF(NOT(ISBLANK(Audit[[#This Row],[Audit Candidate 3]])), Audit[[#This Row],[Audit Candidate 3]]-Audit[[#This Row],[Candidate 3]], "")</f>
        <v/>
      </c>
      <c r="AH58" s="114" t="str">
        <f>IF(NOT(ISBLANK(Audit[[#This Row],[Audit Candidate 4]])),Audit[[#This Row],[Audit Candidate 4]]-Audit[[#This Row],[Candidate 4]], "")</f>
        <v/>
      </c>
      <c r="AI58" s="114" t="str">
        <f>IF(NOT(ISBLANK(Audit[[#This Row],[Audit Candidate 5]])), Audit[[#This Row],[Audit Candidate 5]]-Audit[[#This Row],[Candidate 5]], "")</f>
        <v/>
      </c>
      <c r="AJ58" s="114" t="str">
        <f>IF(NOT(ISBLANK(Audit[[#This Row],[Audit Candidate 6]])), Audit[[#This Row],[Audit Candidate 6]]-Audit[[#This Row],[Candidate 6]], "")</f>
        <v/>
      </c>
      <c r="AK58" s="114" t="str">
        <f>IF(NOT(ISBLANK(Audit[[#This Row],[Audit Candidate 7]])), Audit[[#This Row],[Audit Candidate 7]]-Audit[[#This Row],[Candidate 7]], "")</f>
        <v/>
      </c>
      <c r="AL58" s="114" t="str">
        <f>IF(NOT(ISBLANK(Audit[[#This Row],[Audit Candidate 8]])), Audit[[#This Row],[Audit Candidate 8]]-Audit[[#This Row],[Candidate 8]], "")</f>
        <v/>
      </c>
      <c r="AM58" s="114" t="str">
        <f>IF(NOT(ISBLANK(Audit[[#This Row],[Audit Candidate 9]])), Audit[[#This Row],[Audit Candidate 9]]-Audit[[#This Row],[Candidate 9]], "")</f>
        <v/>
      </c>
      <c r="AN58" s="114" t="str">
        <f>IF(NOT(ISBLANK(Audit[[#This Row],[Audit Candidate 10]])), Audit[[#This Row],[Audit Candidate 10]]-Audit[[#This Row],[Candidate 10]], "")</f>
        <v/>
      </c>
      <c r="AO58" s="114" t="str">
        <f>IF(NOT(ISBLANK(Audit[[#This Row],[Audit Candidate 11]])), Audit[[#This Row],[Audit Candidate 11]]-Audit[[#This Row],[Candidate 11]], "")</f>
        <v/>
      </c>
      <c r="AP58" s="114" t="str">
        <f>IF(NOT(ISBLANK(Audit[[#This Row],[Audit Candidate 12]])), Audit[[#This Row],[Audit Candidate 12]]-Audit[[#This Row],[Candidate 12]], "")</f>
        <v/>
      </c>
      <c r="AQ58" s="114">
        <f>SUMIF(Audit[[#This Row],[Difference Winner]:[Difference Candidate 12]], "&gt;0")</f>
        <v>0</v>
      </c>
      <c r="AR58" s="114">
        <f>SUM(Audit[[#This Row],[Difference Winner]:[Difference Candidate 12]])</f>
        <v>0</v>
      </c>
      <c r="AS58" s="114">
        <f>IF(Audit[[#This Row],[Times p Drawn - With Replacement]]&gt;0, IF(Audit[[#This Row],[Canceled Differences]]&lt;0, Audit[[#This Row],[Max Differences]]+ABS(Audit[[#This Row],[Canceled Differences]]), Audit[[#This Row],[Max Differences]]), 0)</f>
        <v>0</v>
      </c>
      <c r="AT58" s="114">
        <f>'Sampling Data'!AB58</f>
        <v>0.34249471458773784</v>
      </c>
      <c r="AU58" s="114">
        <f>IF(
      SUM(Audit[[#This Row],[Audit Losing Candidate]:[Audit Candidate 12]])
      &lt;&gt;0,
      (Audit[[#This Row],[Winning Candidate]]-Audit[[#This Row],[Losing Candidate]]-(Audit[[#This Row],[Audit Winning Candidate]]-Audit[[#This Row],[Audit Losing Candidate]]))/(Audit[[#Totals],[Winning Candidate]]-Audit[[#Totals],[Losing Candidate]]),
      0
)</f>
        <v>0</v>
      </c>
      <c r="AV58"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8"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8"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8"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8"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8"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8"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8"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8"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8"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8"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8" s="114">
        <f>IF(Audit[[#This Row],[Max Relative Error (ep)]] = 0, 0, Audit[[#This Row],[Max Relative Error (ep)]]/Audit[[#This Row],[Error Bound (up) - Max. possible relative overstatement]])</f>
        <v>0</v>
      </c>
      <c r="BH58"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58" s="114">
        <f t="shared" si="1"/>
        <v>0.85543407702203689</v>
      </c>
      <c r="BJ58" s="114">
        <f>PRODUCT($BI$5:BI58)</f>
        <v>0.1123599804929766</v>
      </c>
      <c r="BK58" s="112">
        <f>1 - Audit[[#This Row],[K-M P Value]]</f>
        <v>0.88764001950702343</v>
      </c>
      <c r="BL58" s="114" t="str">
        <f>IF(Audit[[#This Row],[K-M P Value]]&gt;1-'General Info'!$B$12,"Continue", "Stop")</f>
        <v>Continue</v>
      </c>
      <c r="BM58" s="113" t="b">
        <f>IF(Audit[[#This Row],[Status - Continue or stop audit]] = "Continue", TRUE, IF(BL57 = "Continue", TRUE, FALSE))</f>
        <v>1</v>
      </c>
      <c r="BN58" s="113"/>
    </row>
    <row r="59" spans="1:66" ht="15" customHeight="1" x14ac:dyDescent="0.35">
      <c r="A59" s="114">
        <f>'Sampling Data'!AI59</f>
        <v>27</v>
      </c>
      <c r="B59" s="114" t="str">
        <f>'Sampling Data'!A59</f>
        <v>9701 WOOD A   (ED)</v>
      </c>
      <c r="C59" s="114">
        <f>'Sampling Data'!B59</f>
        <v>136</v>
      </c>
      <c r="D59" s="114">
        <f>'Sampling Data'!C59</f>
        <v>55</v>
      </c>
      <c r="E59" s="115">
        <f>'Sampling Data'!D59</f>
        <v>0</v>
      </c>
      <c r="F59" s="115">
        <f>'Sampling Data'!E59</f>
        <v>0</v>
      </c>
      <c r="G59" s="115">
        <f>'Sampling Data'!F59</f>
        <v>0</v>
      </c>
      <c r="H59" s="115">
        <f>'Sampling Data'!G59</f>
        <v>0</v>
      </c>
      <c r="I59" s="115">
        <f>'Sampling Data'!H59</f>
        <v>0</v>
      </c>
      <c r="J59" s="115">
        <f>'Sampling Data'!I59</f>
        <v>0</v>
      </c>
      <c r="K59" s="115">
        <f>'Sampling Data'!J59</f>
        <v>0</v>
      </c>
      <c r="L59" s="115">
        <f>'Sampling Data'!K59</f>
        <v>0</v>
      </c>
      <c r="M59" s="115">
        <f>'Sampling Data'!L59</f>
        <v>0</v>
      </c>
      <c r="N59" s="115">
        <f>'Sampling Data'!M59</f>
        <v>0</v>
      </c>
      <c r="O59" s="114">
        <f>'Sampling Data'!N59</f>
        <v>0</v>
      </c>
      <c r="P59" s="114">
        <f>'Sampling Data'!O59</f>
        <v>0</v>
      </c>
      <c r="Q59" s="114">
        <f>'Sampling Data'!P59</f>
        <v>191</v>
      </c>
      <c r="R59" s="114">
        <f>'Sampling Data'!AJ59</f>
        <v>1</v>
      </c>
      <c r="S59" s="116">
        <v>136</v>
      </c>
      <c r="T59" s="116">
        <v>55</v>
      </c>
      <c r="U59" s="117"/>
      <c r="V59" s="117"/>
      <c r="W59" s="116"/>
      <c r="X59" s="116"/>
      <c r="Y59" s="116"/>
      <c r="Z59" s="116"/>
      <c r="AA59" s="15"/>
      <c r="AB59" s="15"/>
      <c r="AC59" s="15"/>
      <c r="AD59" s="15"/>
      <c r="AE59" s="118">
        <f>IF(NOT(ISBLANK(Audit[[#This Row],[Audit Winning Candidate]])), Audit[[#This Row],[Audit Winning Candidate]]-Audit[[#This Row],[Winning Candidate]], "")</f>
        <v>0</v>
      </c>
      <c r="AF59" s="114">
        <f>IF(NOT(ISBLANK(Audit[[#This Row],[Audit Losing Candidate]])), Audit[[#This Row],[Audit Losing Candidate]]-Audit[[#This Row],[Losing Candidate]], "")</f>
        <v>0</v>
      </c>
      <c r="AG59" s="114" t="str">
        <f>IF(NOT(ISBLANK(Audit[[#This Row],[Audit Candidate 3]])), Audit[[#This Row],[Audit Candidate 3]]-Audit[[#This Row],[Candidate 3]], "")</f>
        <v/>
      </c>
      <c r="AH59" s="114" t="str">
        <f>IF(NOT(ISBLANK(Audit[[#This Row],[Audit Candidate 4]])),Audit[[#This Row],[Audit Candidate 4]]-Audit[[#This Row],[Candidate 4]], "")</f>
        <v/>
      </c>
      <c r="AI59" s="114" t="str">
        <f>IF(NOT(ISBLANK(Audit[[#This Row],[Audit Candidate 5]])), Audit[[#This Row],[Audit Candidate 5]]-Audit[[#This Row],[Candidate 5]], "")</f>
        <v/>
      </c>
      <c r="AJ59" s="114" t="str">
        <f>IF(NOT(ISBLANK(Audit[[#This Row],[Audit Candidate 6]])), Audit[[#This Row],[Audit Candidate 6]]-Audit[[#This Row],[Candidate 6]], "")</f>
        <v/>
      </c>
      <c r="AK59" s="114" t="str">
        <f>IF(NOT(ISBLANK(Audit[[#This Row],[Audit Candidate 7]])), Audit[[#This Row],[Audit Candidate 7]]-Audit[[#This Row],[Candidate 7]], "")</f>
        <v/>
      </c>
      <c r="AL59" s="114" t="str">
        <f>IF(NOT(ISBLANK(Audit[[#This Row],[Audit Candidate 8]])), Audit[[#This Row],[Audit Candidate 8]]-Audit[[#This Row],[Candidate 8]], "")</f>
        <v/>
      </c>
      <c r="AM59" s="114" t="str">
        <f>IF(NOT(ISBLANK(Audit[[#This Row],[Audit Candidate 9]])), Audit[[#This Row],[Audit Candidate 9]]-Audit[[#This Row],[Candidate 9]], "")</f>
        <v/>
      </c>
      <c r="AN59" s="114" t="str">
        <f>IF(NOT(ISBLANK(Audit[[#This Row],[Audit Candidate 10]])), Audit[[#This Row],[Audit Candidate 10]]-Audit[[#This Row],[Candidate 10]], "")</f>
        <v/>
      </c>
      <c r="AO59" s="114" t="str">
        <f>IF(NOT(ISBLANK(Audit[[#This Row],[Audit Candidate 11]])), Audit[[#This Row],[Audit Candidate 11]]-Audit[[#This Row],[Candidate 11]], "")</f>
        <v/>
      </c>
      <c r="AP59" s="114" t="str">
        <f>IF(NOT(ISBLANK(Audit[[#This Row],[Audit Candidate 12]])), Audit[[#This Row],[Audit Candidate 12]]-Audit[[#This Row],[Candidate 12]], "")</f>
        <v/>
      </c>
      <c r="AQ59" s="114">
        <f>SUMIF(Audit[[#This Row],[Difference Winner]:[Difference Candidate 12]], "&gt;0")</f>
        <v>0</v>
      </c>
      <c r="AR59" s="114">
        <f>SUM(Audit[[#This Row],[Difference Winner]:[Difference Candidate 12]])</f>
        <v>0</v>
      </c>
      <c r="AS59" s="114">
        <f>IF(Audit[[#This Row],[Times p Drawn - With Replacement]]&gt;0, IF(Audit[[#This Row],[Canceled Differences]]&lt;0, Audit[[#This Row],[Max Differences]]+ABS(Audit[[#This Row],[Canceled Differences]]), Audit[[#This Row],[Max Differences]]), 0)</f>
        <v>0</v>
      </c>
      <c r="AT59" s="114">
        <f>'Sampling Data'!AB59</f>
        <v>0.57505285412262153</v>
      </c>
      <c r="AU59" s="114">
        <f>IF(
      SUM(Audit[[#This Row],[Audit Losing Candidate]:[Audit Candidate 12]])
      &lt;&gt;0,
      (Audit[[#This Row],[Winning Candidate]]-Audit[[#This Row],[Losing Candidate]]-(Audit[[#This Row],[Audit Winning Candidate]]-Audit[[#This Row],[Audit Losing Candidate]]))/(Audit[[#Totals],[Winning Candidate]]-Audit[[#Totals],[Losing Candidate]]),
      0
)</f>
        <v>0</v>
      </c>
      <c r="AV59"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59"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59"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59"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59"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59"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59"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59"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59"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59"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59"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59" s="114">
        <f>IF(Audit[[#This Row],[Max Relative Error (ep)]] = 0, 0, Audit[[#This Row],[Max Relative Error (ep)]]/Audit[[#This Row],[Error Bound (up) - Max. possible relative overstatement]])</f>
        <v>0</v>
      </c>
      <c r="BH59"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59" s="114">
        <f t="shared" si="1"/>
        <v>0.92489679263258173</v>
      </c>
      <c r="BJ59">
        <f>PRODUCT($BI$5:BI60)</f>
        <v>9.6116556207223508E-2</v>
      </c>
      <c r="BK59" s="119">
        <f>1 - Audit[[#This Row],[K-M P Value]]</f>
        <v>0.90388344379277652</v>
      </c>
      <c r="BL59" s="114" t="str">
        <f>IF(Audit[[#This Row],[K-M P Value]]&gt;1-'General Info'!$B$12,"Continue", "Stop")</f>
        <v>Stop</v>
      </c>
      <c r="BM59" s="120" t="b">
        <f>IF(Audit[[#This Row],[Status - Continue or stop audit]] = "Continue", TRUE, IF(BL58 = "Continue", TRUE, FALSE))</f>
        <v>1</v>
      </c>
      <c r="BN59" s="120"/>
    </row>
    <row r="60" spans="1:66" ht="15" customHeight="1" thickBot="1" x14ac:dyDescent="0.4">
      <c r="A60" s="114">
        <f>'Sampling Data'!AI60</f>
        <v>15</v>
      </c>
      <c r="B60" s="114" t="str">
        <f>'Sampling Data'!A60</f>
        <v>9702 WOOD B   (ED)</v>
      </c>
      <c r="C60" s="114">
        <f>'Sampling Data'!B60</f>
        <v>108</v>
      </c>
      <c r="D60" s="114">
        <f>'Sampling Data'!C60</f>
        <v>17</v>
      </c>
      <c r="E60" s="115">
        <f>'Sampling Data'!D60</f>
        <v>0</v>
      </c>
      <c r="F60" s="115">
        <f>'Sampling Data'!E60</f>
        <v>0</v>
      </c>
      <c r="G60" s="115">
        <f>'Sampling Data'!F60</f>
        <v>0</v>
      </c>
      <c r="H60" s="115">
        <f>'Sampling Data'!G60</f>
        <v>0</v>
      </c>
      <c r="I60" s="115">
        <f>'Sampling Data'!H60</f>
        <v>0</v>
      </c>
      <c r="J60" s="115">
        <f>'Sampling Data'!I60</f>
        <v>0</v>
      </c>
      <c r="K60" s="115">
        <f>'Sampling Data'!J60</f>
        <v>0</v>
      </c>
      <c r="L60" s="115">
        <f>'Sampling Data'!K60</f>
        <v>0</v>
      </c>
      <c r="M60" s="115">
        <f>'Sampling Data'!L60</f>
        <v>0</v>
      </c>
      <c r="N60" s="115">
        <f>'Sampling Data'!M60</f>
        <v>0</v>
      </c>
      <c r="O60" s="114">
        <f>'Sampling Data'!N60</f>
        <v>0</v>
      </c>
      <c r="P60" s="114">
        <f>'Sampling Data'!O60</f>
        <v>2</v>
      </c>
      <c r="Q60" s="114">
        <f>'Sampling Data'!P60</f>
        <v>127</v>
      </c>
      <c r="R60" s="114">
        <f>'Sampling Data'!AJ60</f>
        <v>1</v>
      </c>
      <c r="S60" s="116">
        <v>108</v>
      </c>
      <c r="T60" s="116">
        <v>17</v>
      </c>
      <c r="U60" s="117"/>
      <c r="V60" s="117"/>
      <c r="W60" s="116"/>
      <c r="X60" s="116"/>
      <c r="Y60" s="116"/>
      <c r="Z60" s="116"/>
      <c r="AA60" s="15"/>
      <c r="AB60" s="15"/>
      <c r="AC60" s="15"/>
      <c r="AD60" s="15"/>
      <c r="AE60" s="118">
        <f>IF(NOT(ISBLANK(Audit[[#This Row],[Audit Winning Candidate]])), Audit[[#This Row],[Audit Winning Candidate]]-Audit[[#This Row],[Winning Candidate]], "")</f>
        <v>0</v>
      </c>
      <c r="AF60" s="114">
        <f>IF(NOT(ISBLANK(Audit[[#This Row],[Audit Losing Candidate]])), Audit[[#This Row],[Audit Losing Candidate]]-Audit[[#This Row],[Losing Candidate]], "")</f>
        <v>0</v>
      </c>
      <c r="AG60" s="114" t="str">
        <f>IF(NOT(ISBLANK(Audit[[#This Row],[Audit Candidate 3]])), Audit[[#This Row],[Audit Candidate 3]]-Audit[[#This Row],[Candidate 3]], "")</f>
        <v/>
      </c>
      <c r="AH60" s="114" t="str">
        <f>IF(NOT(ISBLANK(Audit[[#This Row],[Audit Candidate 4]])),Audit[[#This Row],[Audit Candidate 4]]-Audit[[#This Row],[Candidate 4]], "")</f>
        <v/>
      </c>
      <c r="AI60" s="114" t="str">
        <f>IF(NOT(ISBLANK(Audit[[#This Row],[Audit Candidate 5]])), Audit[[#This Row],[Audit Candidate 5]]-Audit[[#This Row],[Candidate 5]], "")</f>
        <v/>
      </c>
      <c r="AJ60" s="114" t="str">
        <f>IF(NOT(ISBLANK(Audit[[#This Row],[Audit Candidate 6]])), Audit[[#This Row],[Audit Candidate 6]]-Audit[[#This Row],[Candidate 6]], "")</f>
        <v/>
      </c>
      <c r="AK60" s="114" t="str">
        <f>IF(NOT(ISBLANK(Audit[[#This Row],[Audit Candidate 7]])), Audit[[#This Row],[Audit Candidate 7]]-Audit[[#This Row],[Candidate 7]], "")</f>
        <v/>
      </c>
      <c r="AL60" s="114" t="str">
        <f>IF(NOT(ISBLANK(Audit[[#This Row],[Audit Candidate 8]])), Audit[[#This Row],[Audit Candidate 8]]-Audit[[#This Row],[Candidate 8]], "")</f>
        <v/>
      </c>
      <c r="AM60" s="114" t="str">
        <f>IF(NOT(ISBLANK(Audit[[#This Row],[Audit Candidate 9]])), Audit[[#This Row],[Audit Candidate 9]]-Audit[[#This Row],[Candidate 9]], "")</f>
        <v/>
      </c>
      <c r="AN60" s="114" t="str">
        <f>IF(NOT(ISBLANK(Audit[[#This Row],[Audit Candidate 10]])), Audit[[#This Row],[Audit Candidate 10]]-Audit[[#This Row],[Candidate 10]], "")</f>
        <v/>
      </c>
      <c r="AO60" s="114" t="str">
        <f>IF(NOT(ISBLANK(Audit[[#This Row],[Audit Candidate 11]])), Audit[[#This Row],[Audit Candidate 11]]-Audit[[#This Row],[Candidate 11]], "")</f>
        <v/>
      </c>
      <c r="AP60" s="114" t="str">
        <f>IF(NOT(ISBLANK(Audit[[#This Row],[Audit Candidate 12]])), Audit[[#This Row],[Audit Candidate 12]]-Audit[[#This Row],[Candidate 12]], "")</f>
        <v/>
      </c>
      <c r="AQ60" s="114">
        <f>SUMIF(Audit[[#This Row],[Difference Winner]:[Difference Candidate 12]], "&gt;0")</f>
        <v>0</v>
      </c>
      <c r="AR60" s="114">
        <f>SUM(Audit[[#This Row],[Difference Winner]:[Difference Candidate 12]])</f>
        <v>0</v>
      </c>
      <c r="AS60" s="114">
        <f>IF(Audit[[#This Row],[Times p Drawn - With Replacement]]&gt;0, IF(Audit[[#This Row],[Canceled Differences]]&lt;0, Audit[[#This Row],[Max Differences]]+ABS(Audit[[#This Row],[Canceled Differences]]), Audit[[#This Row],[Max Differences]]), 0)</f>
        <v>0</v>
      </c>
      <c r="AT60" s="114">
        <f>'Sampling Data'!AB60</f>
        <v>0.46088794926004228</v>
      </c>
      <c r="AU60" s="114">
        <f>IF(
      SUM(Audit[[#This Row],[Audit Losing Candidate]:[Audit Candidate 12]])
      &lt;&gt;0,
      (Audit[[#This Row],[Winning Candidate]]-Audit[[#This Row],[Losing Candidate]]-(Audit[[#This Row],[Audit Winning Candidate]]-Audit[[#This Row],[Audit Losing Candidate]]))/(Audit[[#Totals],[Winning Candidate]]-Audit[[#Totals],[Losing Candidate]]),
      0
)</f>
        <v>0</v>
      </c>
      <c r="AV60" s="114" t="str">
        <f>IF(AND(
          SUM(Audit[[#This Row],[Audit Losing Candidate]:[Audit Candidate 12]])&lt;&gt;0,
          NOT(
              ISBLANK(
                  Audit[[#This Row],[Audit Candidate 3]])
              )
          ),
      (Audit[[#This Row],[Winning Candidate]]-Audit[[#This Row],[Candidate 3]]-(Audit[[#This Row],[Audit Winning Candidate]]-Audit[[#This Row],[Audit Candidate 3]]))/(Audit[[#Totals],[Winning Candidate]]-Audit[[#Totals],[Candidate 3]]),
      ""
)</f>
        <v/>
      </c>
      <c r="AW60" s="114" t="str">
        <f>IF(AND(
      SUM(Audit[[#This Row],[Audit Losing Candidate]:[Audit Candidate 12]])&lt;&gt;0,
          NOT(
              ISBLANK(
                  Audit[[#This Row],[Audit Candidate 4]])
              )
          ),
      (Audit[[#This Row],[Winning Candidate]]-Audit[[#This Row],[Candidate 4]]-(Audit[[#This Row],[Audit Winning Candidate]]-Audit[[#This Row],[Audit Candidate 4]]))/(Audit[[#Totals],[Winning Candidate]]-Audit[[#Totals],[Candidate 4]]),
      ""
)</f>
        <v/>
      </c>
      <c r="AX60" s="114" t="str">
        <f>IF(AND(
          SUM(Audit[[#This Row],[Audit Losing Candidate]:[Audit Candidate 12]])&lt;&gt;0,
          NOT(
              ISBLANK(
                  Audit[[#This Row],[Audit Candidate 5]])
              )
          ),
      (Audit[[#This Row],[Winning Candidate]]-Audit[[#This Row],[Candidate 5]]-(Audit[[#This Row],[Audit Winning Candidate]]-Audit[[#This Row],[Audit Candidate 5]]))/(Audit[[#Totals],[Winning Candidate]]-Audit[[#Totals],[Candidate 5]]),
      ""
)</f>
        <v/>
      </c>
      <c r="AY60" s="114" t="str">
        <f>IF(AND(
          SUM(Audit[[#This Row],[Audit Losing Candidate]:[Audit Candidate 12]])&lt;&gt;0,
          NOT(
              ISBLANK(
                  Audit[[#This Row],[Audit Candidate 6]])
              )
          ),
      (Audit[[#This Row],[Winning Candidate]]-Audit[[#This Row],[Candidate 6]]-(Audit[[#This Row],[Audit Winning Candidate]]-Audit[[#This Row],[Audit Candidate 6]]))/(Audit[[#Totals],[Winning Candidate]]-Audit[[#Totals],[Candidate 6]]),
      ""
)</f>
        <v/>
      </c>
      <c r="AZ60" s="114" t="str">
        <f>IF(AND(
          SUM(Audit[[#This Row],[Audit Losing Candidate]:[Audit Candidate 12]])&lt;&gt;0,
          NOT(
              ISBLANK(
                  Audit[[#This Row],[Audit Candidate 7]])
              )
          ),
      (Audit[[#This Row],[Winning Candidate]]-Audit[[#This Row],[Candidate 7]]-(Audit[[#This Row],[Audit Winning Candidate]]-Audit[[#This Row],[Audit Candidate 7]]))/(Audit[[#Totals],[Winning Candidate]]-Audit[[#Totals],[Candidate 7]]),
      ""
)</f>
        <v/>
      </c>
      <c r="BA60" s="114" t="str">
        <f>IF(AND(
          SUM(Audit[[#This Row],[Audit Losing Candidate]:[Audit Candidate 12]])&lt;&gt;0,
          NOT(
              ISBLANK(
                  Audit[[#This Row],[Audit Candidate 8]])
              )
          ),
      (Audit[[#This Row],[Winning Candidate]]-Audit[[#This Row],[Candidate 8]]-(Audit[[#This Row],[Audit Winning Candidate]]-Audit[[#This Row],[Audit Candidate 8]]))/(Audit[[#Totals],[Winning Candidate]]-Audit[[#Totals],[Candidate 8]]),
      ""
)</f>
        <v/>
      </c>
      <c r="BB60" s="114" t="str">
        <f>IF(AND(
          SUM(Audit[[#This Row],[Audit Losing Candidate]:[Audit Candidate 12]])&lt;&gt;0,
          NOT(
              ISBLANK(
                  Audit[[#This Row],[Audit Candidate 9]])
              )
          ),
      (Audit[[#This Row],[Winning Candidate]]-Audit[[#This Row],[Candidate 9]]-(Audit[[#This Row],[Audit Winning Candidate]]-Audit[[#This Row],[Audit Candidate 9]]))/(Audit[[#Totals],[Winning Candidate]]-Audit[[#Totals],[Candidate 9]]),
      ""
)</f>
        <v/>
      </c>
      <c r="BC60" s="114" t="str">
        <f>IF(AND(
          SUM(Audit[[#This Row],[Audit Losing Candidate]:[Audit Candidate 12]])&lt;&gt;0,
          NOT(
              ISBLANK(
                  Audit[[#This Row],[Audit Candidate 10]])
              )
          ),
      (Audit[[#This Row],[Winning Candidate]]-Audit[[#This Row],[Candidate 10]]-(Audit[[#This Row],[Audit Winning Candidate]]-Audit[[#This Row],[Audit Candidate 10]]))/(Audit[[#Totals],[Winning Candidate]]-Audit[[#Totals],[Candidate 10]]),
      ""
)</f>
        <v/>
      </c>
      <c r="BD60" s="114" t="str">
        <f>IF(AND(
          SUM(Audit[[#This Row],[Audit Losing Candidate]:[Audit Candidate 12]])&lt;&gt;0,
          NOT(
              ISBLANK(
                  Audit[[#This Row],[Audit Candidate 11]])
              )
          ),
      (Audit[[#This Row],[Winning Candidate]]-Audit[[#This Row],[Candidate 11]]-(Audit[[#This Row],[Audit Winning Candidate]]-Audit[[#This Row],[Audit Candidate 11]]))/(Audit[[#Totals],[Winning Candidate]]-Audit[[#Totals],[Candidate 11]]),
      ""
)</f>
        <v/>
      </c>
      <c r="BE60" s="114" t="str">
        <f>IF(AND(
          SUM(Audit[[#This Row],[Audit Losing Candidate]:[Audit Candidate 12]])&lt;&gt;0,
          NOT(
              ISBLANK(
                  Audit[[#This Row],[Audit Candidate 12]])
              )
          ),
      (Audit[[#This Row],[Winning Candidate]]-Audit[[#This Row],[Candidate 12]]-(Audit[[#This Row],[Audit Winning Candidate]]-Audit[[#This Row],[Audit Candidate 12]]))/(Audit[[#Totals],[Winning Candidate]]-Audit[[#Totals],[Candidate 12]]),
      ""
)</f>
        <v/>
      </c>
      <c r="BF60" s="114">
        <f>IF(ISERR(MAX(Audit[[#This Row],[Relative Error (ep) - Error Rate as a proportion of the margin of victory for Winning Candidate]:[Relative Error (ep) - Error Rate as a proportion of the margin of victory for  Candidate 12]])), 0, MAX(Audit[[#This Row],[Relative Error (ep) - Error Rate as a proportion of the margin of victory for Winning Candidate]:[Relative Error (ep) - Error Rate as a proportion of the margin of victory for  Candidate 12]]))</f>
        <v>0</v>
      </c>
      <c r="BG60" s="114">
        <f>IF(Audit[[#This Row],[Max Relative Error (ep)]] = 0, 0, Audit[[#This Row],[Max Relative Error (ep)]]/Audit[[#This Row],[Error Bound (up) - Max. possible relative overstatement]])</f>
        <v>0</v>
      </c>
      <c r="BH60" s="114">
        <f>IF(Audit[[#Totals],[Error Bound (up) - Max. possible relative overstatement]] = 0, 0, (1-1/Audit[[#Totals],[Error Bound (up) - Max. possible relative overstatement]])/(1-IF(Audit[[#This Row],[Taint (t) - Error rate as a proportion of the max possible relative overstatement]] = 1, 1.01,  Audit[[#This Row],[Taint (t) - Error rate as a proportion of the max possible relative overstatement]])))</f>
        <v>0.92489679263258173</v>
      </c>
      <c r="BI60" s="114">
        <f>IF(ISERR(POWER(BH60,R60)), 0, POWER(BH60,R60))</f>
        <v>0.92489679263258173</v>
      </c>
      <c r="BJ60" s="114">
        <f>PRODUCT($BI$5:BI60)</f>
        <v>9.6116556207223508E-2</v>
      </c>
      <c r="BK60" s="119">
        <f>1 - Audit[[#This Row],[K-M P Value]]</f>
        <v>0.90388344379277652</v>
      </c>
      <c r="BL60" s="114" t="str">
        <f>IF(Audit[[#This Row],[K-M P Value]]&gt;1-'General Info'!$B$12,"Continue", "Stop")</f>
        <v>Stop</v>
      </c>
      <c r="BM60" s="120" t="b">
        <f>IF(Audit[[#This Row],[Status - Continue or stop audit]] = "Continue", TRUE, IF(BL59 = "Continue", TRUE, FALSE))</f>
        <v>0</v>
      </c>
      <c r="BN60" s="120"/>
    </row>
    <row r="61" spans="1:66" ht="15" customHeight="1" thickTop="1" x14ac:dyDescent="0.35">
      <c r="A61" s="107" t="s">
        <v>0</v>
      </c>
      <c r="B61" s="108">
        <f>SUBTOTAL(103,Audit[Precinct (p) - Batched by Type])</f>
        <v>19</v>
      </c>
      <c r="C61" s="109">
        <f>SUM(Audit[Winning Candidate])</f>
        <v>3142</v>
      </c>
      <c r="D61" s="109">
        <f>SUM(Audit[Losing Candidate])</f>
        <v>2669</v>
      </c>
      <c r="E61" s="109">
        <f>SUM(Audit[Candidate 3])</f>
        <v>0</v>
      </c>
      <c r="F61" s="109">
        <f>SUM(Audit[Candidate 4])</f>
        <v>0</v>
      </c>
      <c r="G61" s="109">
        <f>SUM(Audit[Candidate 5])</f>
        <v>0</v>
      </c>
      <c r="H61" s="109">
        <f>SUM(Audit[Candidate 6])</f>
        <v>0</v>
      </c>
      <c r="I61" s="109">
        <f>SUM(Audit[Candidate 7])</f>
        <v>0</v>
      </c>
      <c r="J61" s="109">
        <f>SUM(Audit[Candidate 8])</f>
        <v>0</v>
      </c>
      <c r="K61" s="109">
        <f>SUM(Audit[Candidate 9])</f>
        <v>0</v>
      </c>
      <c r="L61" s="109">
        <f>SUM(Audit[Candidate 10])</f>
        <v>0</v>
      </c>
      <c r="M61" s="109">
        <f>SUM(Audit[Candidate 11])</f>
        <v>0</v>
      </c>
      <c r="N61" s="109">
        <f>SUM(Audit[Candidate 12])</f>
        <v>0</v>
      </c>
      <c r="O61" s="109">
        <f>SUM(Audit[Over Votes])</f>
        <v>1</v>
      </c>
      <c r="P61" s="109">
        <f>SUM(Audit[Under Votes])</f>
        <v>13</v>
      </c>
      <c r="Q61" s="109">
        <f>SUM(Audit[Total])</f>
        <v>5825</v>
      </c>
      <c r="R61" s="109">
        <f>SUM(Audit[Times p Drawn - With Replacement])</f>
        <v>30</v>
      </c>
      <c r="S61" s="109">
        <f>SUM(Audit[Audit Winning Candidate])</f>
        <v>2061</v>
      </c>
      <c r="T61" s="109">
        <f>SUM(Audit[Audit Losing Candidate])</f>
        <v>1692</v>
      </c>
      <c r="U61" s="109">
        <f>SUM(Audit[Audit Candidate 3])</f>
        <v>0</v>
      </c>
      <c r="V61" s="109">
        <f>SUM(Audit[Audit Candidate 4])</f>
        <v>0</v>
      </c>
      <c r="W61" s="109">
        <f>SUM(Audit[Audit Candidate 5])</f>
        <v>0</v>
      </c>
      <c r="X61" s="109">
        <f>SUM(Audit[Audit Candidate 6])</f>
        <v>0</v>
      </c>
      <c r="Y61" s="109">
        <f>SUM(Audit[Audit Candidate 7])</f>
        <v>0</v>
      </c>
      <c r="Z61" s="109">
        <f>SUM(Audit[Audit Candidate 8])</f>
        <v>0</v>
      </c>
      <c r="AA61" s="109">
        <f>SUM(Audit[Audit Candidate 9])</f>
        <v>0</v>
      </c>
      <c r="AB61" s="109">
        <f>SUM(Audit[Audit Candidate 10])</f>
        <v>0</v>
      </c>
      <c r="AC61" s="109">
        <f>SUM(Audit[Audit Candidate 11])</f>
        <v>0</v>
      </c>
      <c r="AD61" s="109">
        <f>SUM(Audit[Audit Candidate 12])</f>
        <v>0</v>
      </c>
      <c r="AE61" s="109">
        <f>SUM(Audit[Difference Winner])</f>
        <v>0</v>
      </c>
      <c r="AF61" s="109">
        <f>SUM(Audit[Difference Loser])</f>
        <v>0</v>
      </c>
      <c r="AG61" s="109">
        <f>SUM(Audit[Difference Candidate 3])</f>
        <v>0</v>
      </c>
      <c r="AH61" s="109">
        <f>SUM(Audit[Difference Candidate 4])</f>
        <v>0</v>
      </c>
      <c r="AI61" s="109">
        <f>SUM(Audit[Difference Candidate 5])</f>
        <v>0</v>
      </c>
      <c r="AJ61" s="109">
        <f>SUM(Audit[Difference Candidate 6])</f>
        <v>0</v>
      </c>
      <c r="AK61" s="109">
        <f>SUM(Audit[Difference Candidate 7])</f>
        <v>0</v>
      </c>
      <c r="AL61" s="109">
        <f>SUM(Audit[Difference Candidate 8])</f>
        <v>0</v>
      </c>
      <c r="AM61" s="109">
        <f>SUM(Audit[Difference Candidate 9])</f>
        <v>0</v>
      </c>
      <c r="AN61" s="109">
        <f>SUM(Audit[Difference Candidate 10])</f>
        <v>0</v>
      </c>
      <c r="AO61" s="109">
        <f>SUM(Audit[Difference Candidate 11])</f>
        <v>0</v>
      </c>
      <c r="AP61" s="109">
        <f>SUM(Audit[Difference Candidate 12])</f>
        <v>0</v>
      </c>
      <c r="AQ61" s="109">
        <f>SUM(Audit[Max Differences])</f>
        <v>0</v>
      </c>
      <c r="AR61" s="109">
        <f>SUM(Audit[Canceled Differences])</f>
        <v>0</v>
      </c>
      <c r="AS61" s="109">
        <f>SUM(Audit[Total Differences])</f>
        <v>0</v>
      </c>
      <c r="AT61" s="109">
        <f>SUM(Audit[Error Bound (up) - Max. possible relative overstatement])</f>
        <v>13.315010570824526</v>
      </c>
      <c r="AU61" s="109">
        <f>SUM(Audit[Relative Error (ep) - Error Rate as a proportion of the margin of victory for Winning Candidate])</f>
        <v>0</v>
      </c>
      <c r="AV61" s="109">
        <f>SUM(Audit[Relative Error (ep) - Error Rate as a proportion of the margin of victory for  Candidate 3])</f>
        <v>0</v>
      </c>
      <c r="AW61" s="109">
        <f>SUM(Audit[Relative Error (ep) - Error Rate as a proportion of the margin of victory for  Candidate 4])</f>
        <v>0</v>
      </c>
      <c r="AX61" s="109">
        <f>SUM(Audit[Relative Error (ep) - Error Rate as a proportion of the margin of victory for  Candidate 5])</f>
        <v>0</v>
      </c>
      <c r="AY61" s="109">
        <f>SUM(Audit[Relative Error (ep) - Error Rate as a proportion of the margin of victory for  Candidate 6])</f>
        <v>0</v>
      </c>
      <c r="AZ61" s="109">
        <f>SUM(Audit[Relative Error (ep) - Error Rate as a proportion of the margin of victory for  Candidate 7])</f>
        <v>0</v>
      </c>
      <c r="BA61" s="109">
        <f>SUM(Audit[Relative Error (ep) - Error Rate as a proportion of the margin of victory for  Candidate 8])</f>
        <v>0</v>
      </c>
      <c r="BB61" s="109">
        <f>SUM(Audit[Relative Error (ep) - Error Rate as a proportion of the margin of victory for  Candidate 9])</f>
        <v>0</v>
      </c>
      <c r="BC61" s="109">
        <f>SUM(Audit[Relative Error (ep) - Error Rate as a proportion of the margin of victory for  Candidate 10])</f>
        <v>0</v>
      </c>
      <c r="BD61" s="109">
        <f>SUM(Audit[Relative Error (ep) - Error Rate as a proportion of the margin of victory for  Candidate 11])</f>
        <v>0</v>
      </c>
      <c r="BE61" s="109">
        <f>SUM(Audit[Relative Error (ep) - Error Rate as a proportion of the margin of victory for  Candidate 12])</f>
        <v>0</v>
      </c>
      <c r="BF61" s="109">
        <f>SUM(Audit[Max Relative Error (ep)])</f>
        <v>0</v>
      </c>
      <c r="BG61" s="109">
        <f>SUM(Audit[Taint (t) - Error rate as a proportion of the max possible relative overstatement])</f>
        <v>0</v>
      </c>
      <c r="BH61" s="109">
        <f>SUM(Audit[KM Factor])</f>
        <v>51.794220387424531</v>
      </c>
      <c r="BI61" s="109">
        <f>SUM(Audit[Net KM Factor - KM Factor taking into account pcts audited multiple times])</f>
        <v>53.834641748102257</v>
      </c>
      <c r="BJ61" s="109">
        <f>SUM(Audit[K-M P Value])</f>
        <v>32.000636509486782</v>
      </c>
      <c r="BK61" s="110">
        <f>SUBTOTAL(104,Audit[Confidence Level])</f>
        <v>0.90388344379277652</v>
      </c>
      <c r="BL61" s="111"/>
      <c r="BM61" s="108">
        <f>SUBTOTAL(103,Audit[Process Batch])</f>
        <v>19</v>
      </c>
      <c r="BN61" s="108"/>
    </row>
  </sheetData>
  <mergeCells count="4">
    <mergeCell ref="A2:R2"/>
    <mergeCell ref="AE2:BM2"/>
    <mergeCell ref="A1:BN1"/>
    <mergeCell ref="S2:Z2"/>
  </mergeCells>
  <conditionalFormatting sqref="BL5:BL60">
    <cfRule type="expression" dxfId="2" priority="1">
      <formula>AND($BK5 &gt;= $BO$1, $BM5)</formula>
    </cfRule>
    <cfRule type="expression" dxfId="1" priority="2">
      <formula>AND($BK5 &lt;$BO$1, $BK5 &gt;=$BO$1 - 0.05, $BM5)</formula>
    </cfRule>
    <cfRule type="expression" dxfId="0" priority="4">
      <formula>AND($BK5 &lt;$BO$1 - 0.05, $BM5)</formula>
    </cfRule>
  </conditionalFormatting>
  <pageMargins left="0.25" right="0.25" top="0.75" bottom="0.75" header="0.3" footer="0.3"/>
  <pageSetup scale="34" fitToHeight="0" orientation="landscape" r:id="rId1"/>
  <headerFooter>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J61"/>
  <sheetViews>
    <sheetView zoomScaleNormal="100" workbookViewId="0">
      <pane ySplit="4" topLeftCell="A26" activePane="bottomLeft" state="frozen"/>
      <selection pane="bottomLeft" activeCell="A55" sqref="A55"/>
    </sheetView>
  </sheetViews>
  <sheetFormatPr defaultRowHeight="15" customHeight="1" x14ac:dyDescent="0.35"/>
  <cols>
    <col min="1" max="1" width="39.54296875" bestFit="1" customWidth="1"/>
    <col min="2" max="2" width="13.54296875" bestFit="1" customWidth="1"/>
    <col min="3" max="3" width="11.7265625" bestFit="1" customWidth="1"/>
    <col min="4" max="4" width="14" hidden="1" customWidth="1"/>
    <col min="5" max="13" width="13.453125" hidden="1" customWidth="1"/>
    <col min="14" max="14" width="13.453125" customWidth="1"/>
    <col min="15" max="15" width="8.453125" customWidth="1"/>
    <col min="16" max="16" width="9.81640625" customWidth="1"/>
    <col min="17" max="17" width="17.1796875" hidden="1" customWidth="1"/>
    <col min="18" max="18" width="16.7265625" hidden="1" customWidth="1"/>
    <col min="19" max="19" width="17.7265625" hidden="1" customWidth="1"/>
    <col min="20" max="22" width="16" hidden="1" customWidth="1"/>
    <col min="23" max="27" width="17.453125" hidden="1" customWidth="1"/>
    <col min="28" max="29" width="14" hidden="1" customWidth="1"/>
    <col min="30" max="30" width="13.54296875" hidden="1" customWidth="1"/>
    <col min="31" max="31" width="20" bestFit="1" customWidth="1"/>
    <col min="32" max="32" width="17.26953125" hidden="1" customWidth="1"/>
    <col min="33" max="33" width="12.26953125" hidden="1" customWidth="1"/>
    <col min="34" max="34" width="17.26953125" hidden="1" customWidth="1"/>
    <col min="35" max="35" width="14.81640625" customWidth="1"/>
    <col min="36" max="36" width="13" customWidth="1"/>
    <col min="37" max="37" width="17.453125" customWidth="1"/>
  </cols>
  <sheetData>
    <row r="1" spans="1:36" s="1" customFormat="1" ht="15" customHeight="1" x14ac:dyDescent="0.35">
      <c r="A1" s="134" t="str">
        <f ca="1">MID(CELL("filename",$A$4), FIND("]", CELL("filename",$A$4)) + 1, 255)</f>
        <v>Sampling Data</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9"/>
    </row>
    <row r="2" spans="1:36" s="1" customFormat="1" ht="15" customHeight="1" x14ac:dyDescent="0.35">
      <c r="A2" s="136" t="s">
        <v>98</v>
      </c>
      <c r="B2" s="137"/>
      <c r="C2" s="137"/>
      <c r="D2" s="137"/>
      <c r="E2" s="137"/>
      <c r="F2" s="137"/>
      <c r="G2" s="137"/>
      <c r="H2" s="137"/>
      <c r="I2" s="137"/>
      <c r="J2" s="137"/>
      <c r="K2" s="137"/>
      <c r="L2" s="137"/>
      <c r="M2" s="137"/>
      <c r="N2" s="137"/>
      <c r="O2" s="138"/>
      <c r="P2" s="131" t="s">
        <v>99</v>
      </c>
      <c r="Q2" s="132"/>
      <c r="R2" s="132"/>
      <c r="S2" s="132"/>
      <c r="T2" s="132"/>
      <c r="U2" s="132"/>
      <c r="V2" s="132"/>
      <c r="W2" s="132"/>
      <c r="X2" s="132"/>
      <c r="Y2" s="132"/>
      <c r="Z2" s="132"/>
      <c r="AA2" s="132"/>
      <c r="AB2" s="132"/>
      <c r="AC2" s="132"/>
      <c r="AD2" s="132"/>
      <c r="AE2" s="132"/>
      <c r="AF2" s="132"/>
      <c r="AG2" s="132"/>
      <c r="AH2" s="132"/>
      <c r="AI2" s="132"/>
      <c r="AJ2" s="133"/>
    </row>
    <row r="3" spans="1:36" ht="84.75" customHeight="1" x14ac:dyDescent="0.35">
      <c r="A3" s="29" t="s">
        <v>94</v>
      </c>
      <c r="B3" s="29" t="str">
        <f>IF(ISBLANK('General Info'!$B$27), "UNDEFINED", 'General Info'!$B$27 &amp; "
(Declared Winner)")</f>
        <v>FOR THE TAX LEVY
(Declared Winner)</v>
      </c>
      <c r="C3" s="29" t="str">
        <f>IF(ISBLANK('General Info'!$B$28),"UNDEFINED",'General Info'!$B$28&amp;"
(Declared Loser)")</f>
        <v>AGAINST THE TAX LEVY
(Declared Loser)</v>
      </c>
      <c r="D3" s="29" t="str">
        <f>IF(ISBLANK('General Info'!$B$29), "UNDEFINED", 'General Info'!$B$29)</f>
        <v>UNDEFINED</v>
      </c>
      <c r="E3" s="29" t="str">
        <f>IF(ISBLANK('General Info'!$B$30), "UNDEFINED",'General Info'!$B$30)</f>
        <v>UNDEFINED</v>
      </c>
      <c r="F3" s="29" t="str">
        <f>IF(ISBLANK('General Info'!$B$31), "UNDEFINED",'General Info'!$B$31)</f>
        <v>UNDEFINED</v>
      </c>
      <c r="G3" s="29" t="str">
        <f>IF(ISBLANK('General Info'!$B$31), "UNDEFINED",'General Info'!$B$32)</f>
        <v>UNDEFINED</v>
      </c>
      <c r="H3" s="29" t="str">
        <f>IF(ISBLANK('General Info'!$B$31), "UNDEFINED",'General Info'!$B$33)</f>
        <v>UNDEFINED</v>
      </c>
      <c r="I3" s="29" t="str">
        <f>IF(ISBLANK('General Info'!$B$31), "UNDEFINED",'General Info'!$B$34)</f>
        <v>UNDEFINED</v>
      </c>
      <c r="J3" s="29" t="str">
        <f>IF(ISBLANK('General Info'!$B$31), "UNDEFINED",'General Info'!$B$35)</f>
        <v>UNDEFINED</v>
      </c>
      <c r="K3" s="29" t="str">
        <f>IF(ISBLANK('General Info'!$B$31), "UNDEFINED",'General Info'!$B$36)</f>
        <v>UNDEFINED</v>
      </c>
      <c r="L3" s="29" t="str">
        <f>IF(ISBLANK('General Info'!$B$31), "UNDEFINED",'General Info'!$B$37)</f>
        <v>UNDEFINED</v>
      </c>
      <c r="M3" s="29" t="str">
        <f>IF(ISBLANK('General Info'!$B$31), "UNDEFINED",'General Info'!$B$38)</f>
        <v>UNDEFINED</v>
      </c>
      <c r="N3" s="29" t="s">
        <v>6</v>
      </c>
      <c r="O3" s="31" t="s">
        <v>7</v>
      </c>
      <c r="P3" s="34" t="s">
        <v>0</v>
      </c>
      <c r="Q3" s="34" t="str">
        <f>"Error Bound (up) - " &amp; IF(ISBLANK('General Info'!$B$28), "UNDEFINED","
Max. possible relative overstatement for
" &amp; 'General Info'!$B$28) &amp; " (Loser)"</f>
        <v>Error Bound (up) - 
Max. possible relative overstatement for
AGAINST THE TAX LEVY (Loser)</v>
      </c>
      <c r="R3" s="34" t="str">
        <f>"Error Bound (up) - " &amp; IF(ISBLANK('General Info'!$B$29), "UNDEFINED","
Max. possible relative overstatement for
" &amp; 'General Info'!$B$29)</f>
        <v>Error Bound (up) - UNDEFINED</v>
      </c>
      <c r="S3" s="34" t="str">
        <f>"Error Bound (up) - " &amp; IF(ISBLANK('General Info'!$B$30), "UNDEFINED","
Max. possible relative overstatement for
" &amp; 'General Info'!$B$30)</f>
        <v>Error Bound (up) - UNDEFINED</v>
      </c>
      <c r="T3" s="34" t="str">
        <f>"Error Bound (up) - " &amp; IF(ISBLANK('General Info'!$B$31), "UNDEFINED","
Max. possible relative overstatement for
" &amp; 'General Info'!$B$31)</f>
        <v>Error Bound (up) - UNDEFINED</v>
      </c>
      <c r="U3" s="34" t="str">
        <f>"Error Bound (up) - " &amp; IF(ISBLANK('General Info'!$B$32), "UNDEFINED","
Max. possible relative overstatement for
" &amp; 'General Info'!$B$32)</f>
        <v>Error Bound (up) - UNDEFINED</v>
      </c>
      <c r="V3" s="34" t="str">
        <f>"Error Bound (up) - " &amp; IF(ISBLANK('General Info'!$B$33), "UNDEFINED","
Max. possible relative overstatement for
" &amp; 'General Info'!$B$33)</f>
        <v>Error Bound (up) - UNDEFINED</v>
      </c>
      <c r="W3" s="34" t="str">
        <f>"Error Bound (up) - " &amp; IF(ISBLANK('General Info'!$B$34), "UNDEFINED","
Max. possible relative overstatement for
" &amp; 'General Info'!$B$34)</f>
        <v>Error Bound (up) - UNDEFINED</v>
      </c>
      <c r="X3" s="34" t="str">
        <f>"Error Bound (up) - " &amp; IF(ISBLANK('General Info'!$B$35), "UNDEFINED","
Max. possible relative overstatement for
" &amp; 'General Info'!$B$35)</f>
        <v>Error Bound (up) - UNDEFINED</v>
      </c>
      <c r="Y3" s="34" t="str">
        <f>"Error Bound (up) - " &amp; IF(ISBLANK('General Info'!$B$36), "UNDEFINED","
Max. possible relative overstatement for
" &amp; 'General Info'!$B$36)</f>
        <v>Error Bound (up) - UNDEFINED</v>
      </c>
      <c r="Z3" s="34" t="str">
        <f>"Error Bound (up) - " &amp; IF(ISBLANK('General Info'!$B$37), "UNDEFINED","
Max. possible relative overstatement for
" &amp; 'General Info'!$B$37)</f>
        <v>Error Bound (up) - UNDEFINED</v>
      </c>
      <c r="AA3" s="34" t="str">
        <f>"Error Bound (up) - " &amp; IF(ISBLANK('General Info'!$B$38), "UNDEFINED","
Max. possible relative overstatement for
" &amp; 'General Info'!$B$38)</f>
        <v>Error Bound (up) - UNDEFINED</v>
      </c>
      <c r="AB3" s="34" t="s">
        <v>90</v>
      </c>
      <c r="AC3" s="34" t="s">
        <v>59</v>
      </c>
      <c r="AD3" s="34" t="s">
        <v>5</v>
      </c>
      <c r="AE3" s="34" t="s">
        <v>54</v>
      </c>
      <c r="AF3" s="34" t="s">
        <v>31</v>
      </c>
      <c r="AG3" s="34" t="s">
        <v>32</v>
      </c>
      <c r="AH3" s="34" t="s">
        <v>30</v>
      </c>
      <c r="AI3" s="34" t="s">
        <v>93</v>
      </c>
      <c r="AJ3" s="34" t="s">
        <v>60</v>
      </c>
    </row>
    <row r="4" spans="1:36" s="1" customFormat="1" ht="18" customHeight="1" x14ac:dyDescent="0.35">
      <c r="A4" s="30" t="s">
        <v>95</v>
      </c>
      <c r="B4" s="30" t="s">
        <v>47</v>
      </c>
      <c r="C4" s="30" t="s">
        <v>61</v>
      </c>
      <c r="D4" s="30" t="s">
        <v>62</v>
      </c>
      <c r="E4" s="30" t="s">
        <v>63</v>
      </c>
      <c r="F4" s="30" t="s">
        <v>52</v>
      </c>
      <c r="G4" s="30" t="s">
        <v>53</v>
      </c>
      <c r="H4" s="30" t="s">
        <v>167</v>
      </c>
      <c r="I4" s="30" t="s">
        <v>166</v>
      </c>
      <c r="J4" s="30" t="s">
        <v>188</v>
      </c>
      <c r="K4" s="30" t="s">
        <v>189</v>
      </c>
      <c r="L4" s="30" t="s">
        <v>190</v>
      </c>
      <c r="M4" s="30" t="s">
        <v>191</v>
      </c>
      <c r="N4" s="30" t="s">
        <v>6</v>
      </c>
      <c r="O4" s="32" t="s">
        <v>7</v>
      </c>
      <c r="P4" s="35" t="s">
        <v>0</v>
      </c>
      <c r="Q4" s="35" t="s">
        <v>85</v>
      </c>
      <c r="R4" s="35" t="s">
        <v>86</v>
      </c>
      <c r="S4" s="35" t="s">
        <v>87</v>
      </c>
      <c r="T4" s="35" t="s">
        <v>88</v>
      </c>
      <c r="U4" s="35" t="s">
        <v>89</v>
      </c>
      <c r="V4" s="35" t="s">
        <v>173</v>
      </c>
      <c r="W4" s="35" t="s">
        <v>172</v>
      </c>
      <c r="X4" s="35" t="s">
        <v>192</v>
      </c>
      <c r="Y4" s="35" t="s">
        <v>193</v>
      </c>
      <c r="Z4" s="35" t="s">
        <v>194</v>
      </c>
      <c r="AA4" s="35" t="s">
        <v>195</v>
      </c>
      <c r="AB4" s="35" t="s">
        <v>91</v>
      </c>
      <c r="AC4" s="35" t="s">
        <v>57</v>
      </c>
      <c r="AD4" s="35" t="s">
        <v>5</v>
      </c>
      <c r="AE4" s="35" t="s">
        <v>54</v>
      </c>
      <c r="AF4" s="35" t="s">
        <v>31</v>
      </c>
      <c r="AG4" s="35" t="s">
        <v>32</v>
      </c>
      <c r="AH4" s="35" t="s">
        <v>30</v>
      </c>
      <c r="AI4" s="35" t="s">
        <v>96</v>
      </c>
      <c r="AJ4" s="35" t="s">
        <v>58</v>
      </c>
    </row>
    <row r="5" spans="1:36" ht="14.5" x14ac:dyDescent="0.35">
      <c r="A5" t="s">
        <v>216</v>
      </c>
      <c r="B5">
        <v>0</v>
      </c>
      <c r="C5">
        <v>0</v>
      </c>
      <c r="N5">
        <v>0</v>
      </c>
      <c r="O5">
        <v>0</v>
      </c>
      <c r="P5" s="17">
        <f>SUM(SamplingData[[#This Row],[Winning Candidate]:[Under Votes]])</f>
        <v>0</v>
      </c>
      <c r="Q5" s="18">
        <f>IF(AND(SamplingData[[#This Row],[Total]]&lt;&gt; 0, NOT(ISBLANK(SamplingData[[#This Row],[Losing Candidate]]))),(SamplingData[[#This Row],[Total]]+SamplingData[[#This Row],[Winning Candidate]]-SamplingData[[#This Row],[Losing Candidate]])/(SamplingData[[#Totals],[Winning Candidate]]-SamplingData[[#Totals],[Losing Candidate]]), 0)</f>
        <v>0</v>
      </c>
      <c r="R5" s="18">
        <f>IF(AND(SamplingData[[#This Row],[Total]]&lt;&gt; 0, NOT(ISBLANK(SamplingData[[#This Row],[Candidate 3]]))),(SamplingData[[#This Row],[Total]]+SamplingData[[#This Row],[Winning Candidate]]-SamplingData[[#This Row],[Candidate 3]])/(SamplingData[[#Totals],[Winning Candidate]]-SamplingData[[#Totals],[Candidate 3]]), 0)</f>
        <v>0</v>
      </c>
      <c r="S5" s="18">
        <f>IF(AND(SamplingData[[#This Row],[Total]]&lt;&gt; 0, NOT(ISBLANK(SamplingData[[#This Row],[Candidate 4]]))),(SamplingData[[#This Row],[Total]]+SamplingData[[#This Row],[Winning Candidate]]-SamplingData[[#This Row],[Candidate 4]])/(SamplingData[[#Totals],[Winning Candidate]]-SamplingData[[#Totals],[Candidate 4]]), 0)</f>
        <v>0</v>
      </c>
      <c r="T5" s="18">
        <f>IF(AND(SamplingData[[#This Row],[Total]]&lt;&gt; 0, NOT(ISBLANK(SamplingData[[#This Row],[Candidate 5]]))),(SamplingData[[#This Row],[Total]]+SamplingData[[#This Row],[Winning Candidate]]-SamplingData[[#This Row],[Candidate 5]])/(SamplingData[[#Totals],[Winning Candidate]]-SamplingData[[#Totals],[Candidate 5]]), 0)</f>
        <v>0</v>
      </c>
      <c r="U5" s="18">
        <f>IF(AND(SamplingData[[#This Row],[Total]]&lt;&gt; 0, NOT(ISBLANK(SamplingData[[#This Row],[Candidate 6]]))),(SamplingData[[#This Row],[Total]]+SamplingData[[#This Row],[Losing Candidate]]-SamplingData[[#This Row],[Candidate 6]])/(SamplingData[[#Totals],[Winning Candidate]]-SamplingData[[#Totals],[Candidate 6]]), 0)</f>
        <v>0</v>
      </c>
      <c r="V5" s="18">
        <f>IF(AND(SamplingData[[#This Row],[Total]]&lt;&gt; 0, NOT(ISBLANK(SamplingData[[#This Row],[Candidate 7]]))),(SamplingData[[#This Row],[Total]]+SamplingData[[#This Row],[Winning Candidate]]-SamplingData[[#This Row],[Candidate 7]])/(SamplingData[[#Totals],[Winning Candidate]]-SamplingData[[#Totals],[Candidate 7]]), 0)</f>
        <v>0</v>
      </c>
      <c r="W5" s="18">
        <f>IF(AND(SamplingData[[#This Row],[Total]]&lt;&gt; 0, NOT(ISBLANK(SamplingData[[#This Row],[Candidate 8]]))),(SamplingData[[#This Row],[Total]]+SamplingData[[#This Row],[Winning Candidate]]-SamplingData[[#This Row],[Candidate 8]])/(SamplingData[[#Totals],[Winning Candidate]]-SamplingData[[#Totals],[Candidate 8]]), 0)</f>
        <v>0</v>
      </c>
      <c r="X5"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 s="18">
        <f>MAX(SamplingData[[#This Row],[Error Bound (up) - Max. possible relative overstatement - Losing Candidate]:[Error Bound (up) - Max. possible relative overstatement - Candidate 12]])</f>
        <v>0</v>
      </c>
      <c r="AC5" s="18">
        <f>IF(SamplingData[[#This Row],[Max Error Bound (up)]] = 0,0,SamplingData[[#This Row],[Max Error Bound (up)]]/SamplingData[[#Totals],[Max Error Bound (up)]])</f>
        <v>0</v>
      </c>
      <c r="AD5" s="18">
        <f>SUM($AC$5:AC5)</f>
        <v>0</v>
      </c>
      <c r="AE5" s="18" t="str">
        <f t="array" ref="AE5">IF(SamplingData[[#This Row],[up/U Selection Probability]] = 0, "Zero", TEXT(SamplingData[[#This Row],[Lower Range]], REPT("0",LEN('General Info'!$B$42))) &amp; " - " &amp; TEXT(SamplingData[[#This Row],[Upper Range]], REPT("0",LEN('General Info'!$B$42))))</f>
        <v>Zero</v>
      </c>
      <c r="AF5" s="18">
        <f>SamplingData[[#This Row],[Upper Range]]-SamplingData[[#This Row],[Span]]</f>
        <v>0</v>
      </c>
      <c r="AG5" s="18">
        <f>IF(ISNUMBER('General Info'!$B$42), ((SamplingData[[#This Row],[up/U Selection Probability]]) * 'General Info'!$B$44) - 1, 0)</f>
        <v>-1</v>
      </c>
      <c r="AH5" s="18">
        <f>IF(ISNUMBER('General Info'!$B$42), (SamplingData[[#This Row],[Running (cumulative) sum]] * ('General Info'!$B$42 -'General Info'!$B$43 + 1)) + 'General Info'!$B$43 - 1, 0)</f>
        <v>-1</v>
      </c>
      <c r="AI5" s="18" t="str">
        <f>IF(ISERROR(MATCH(SamplingData[[#This Row],[Batch by Type (p)]],SelectedPrecincts[Batch Name], 0)), "", INDEX(SelectedPrecincts[Draw], MATCH(SamplingData[[#This Row],[Batch by Type (p)]],SelectedPrecincts[Batch Name], 0)))</f>
        <v/>
      </c>
      <c r="AJ5" s="17">
        <f>IF(COUNTIF(SelectedPrecincts[Batch Name],SamplingData[[#This Row],[Batch by Type (p)]]) &lt;&gt; 0, COUNTIF(SelectedPrecincts[Batch Name],SamplingData[[#This Row],[Batch by Type (p)]]), 0)</f>
        <v>0</v>
      </c>
    </row>
    <row r="6" spans="1:36" ht="14.5" x14ac:dyDescent="0.35">
      <c r="A6" t="s">
        <v>217</v>
      </c>
      <c r="B6">
        <v>4</v>
      </c>
      <c r="C6">
        <v>9</v>
      </c>
      <c r="N6">
        <v>0</v>
      </c>
      <c r="O6">
        <v>0</v>
      </c>
      <c r="P6" s="17">
        <f>SUM(SamplingData[[#This Row],[Winning Candidate]:[Under Votes]])</f>
        <v>13</v>
      </c>
      <c r="Q6" s="18">
        <f>IF(AND(SamplingData[[#This Row],[Total]]&lt;&gt; 0, NOT(ISBLANK(SamplingData[[#This Row],[Losing Candidate]]))),(SamplingData[[#This Row],[Total]]+SamplingData[[#This Row],[Winning Candidate]]-SamplingData[[#This Row],[Losing Candidate]])/(SamplingData[[#Totals],[Winning Candidate]]-SamplingData[[#Totals],[Losing Candidate]]), 0)</f>
        <v>1.6913319238900635E-2</v>
      </c>
      <c r="R6" s="18">
        <f>IF(AND(SamplingData[[#This Row],[Total]]&lt;&gt; 0, NOT(ISBLANK(SamplingData[[#This Row],[Candidate 3]]))),(SamplingData[[#This Row],[Total]]+SamplingData[[#This Row],[Winning Candidate]]-SamplingData[[#This Row],[Candidate 3]])/(SamplingData[[#Totals],[Winning Candidate]]-SamplingData[[#Totals],[Candidate 3]]), 0)</f>
        <v>0</v>
      </c>
      <c r="S6" s="18">
        <f>IF(AND(SamplingData[[#This Row],[Total]]&lt;&gt; 0, NOT(ISBLANK(SamplingData[[#This Row],[Candidate 4]]))),(SamplingData[[#This Row],[Total]]+SamplingData[[#This Row],[Winning Candidate]]-SamplingData[[#This Row],[Candidate 4]])/(SamplingData[[#Totals],[Winning Candidate]]-SamplingData[[#Totals],[Candidate 4]]), 0)</f>
        <v>0</v>
      </c>
      <c r="T6" s="18">
        <f>IF(AND(SamplingData[[#This Row],[Total]]&lt;&gt; 0, NOT(ISBLANK(SamplingData[[#This Row],[Candidate 5]]))),(SamplingData[[#This Row],[Total]]+SamplingData[[#This Row],[Winning Candidate]]-SamplingData[[#This Row],[Candidate 5]])/(SamplingData[[#Totals],[Winning Candidate]]-SamplingData[[#Totals],[Candidate 5]]), 0)</f>
        <v>0</v>
      </c>
      <c r="U6" s="18">
        <f>IF(AND(SamplingData[[#This Row],[Total]]&lt;&gt; 0, NOT(ISBLANK(SamplingData[[#This Row],[Candidate 6]]))),(SamplingData[[#This Row],[Total]]+SamplingData[[#This Row],[Losing Candidate]]-SamplingData[[#This Row],[Candidate 6]])/(SamplingData[[#Totals],[Winning Candidate]]-SamplingData[[#Totals],[Candidate 6]]), 0)</f>
        <v>0</v>
      </c>
      <c r="V6" s="18">
        <f>IF(AND(SamplingData[[#This Row],[Total]]&lt;&gt; 0, NOT(ISBLANK(SamplingData[[#This Row],[Candidate 7]]))),(SamplingData[[#This Row],[Total]]+SamplingData[[#This Row],[Winning Candidate]]-SamplingData[[#This Row],[Candidate 7]])/(SamplingData[[#Totals],[Winning Candidate]]-SamplingData[[#Totals],[Candidate 7]]), 0)</f>
        <v>0</v>
      </c>
      <c r="W6" s="18">
        <f>IF(AND(SamplingData[[#This Row],[Total]]&lt;&gt; 0, NOT(ISBLANK(SamplingData[[#This Row],[Candidate 8]]))),(SamplingData[[#This Row],[Total]]+SamplingData[[#This Row],[Winning Candidate]]-SamplingData[[#This Row],[Candidate 8]])/(SamplingData[[#Totals],[Winning Candidate]]-SamplingData[[#Totals],[Candidate 8]]), 0)</f>
        <v>0</v>
      </c>
      <c r="X6"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 s="18">
        <f>MAX(SamplingData[[#This Row],[Error Bound (up) - Max. possible relative overstatement - Losing Candidate]:[Error Bound (up) - Max. possible relative overstatement - Candidate 12]])</f>
        <v>1.6913319238900635E-2</v>
      </c>
      <c r="AC6" s="18">
        <f>IF(SamplingData[[#This Row],[Max Error Bound (up)]] = 0,0,SamplingData[[#This Row],[Max Error Bound (up)]]/SamplingData[[#Totals],[Max Error Bound (up)]])</f>
        <v>1.2702445220704984E-3</v>
      </c>
      <c r="AD6" s="18">
        <f>SUM($AC$5:AC6)</f>
        <v>1.2702445220704984E-3</v>
      </c>
      <c r="AE6" s="18" t="str">
        <f t="array" ref="AE6">IF(SamplingData[[#This Row],[up/U Selection Probability]] = 0, "Zero", TEXT(SamplingData[[#This Row],[Lower Range]], REPT("0",LEN('General Info'!$B$42))) &amp; " - " &amp; TEXT(SamplingData[[#This Row],[Upper Range]], REPT("0",LEN('General Info'!$B$42))))</f>
        <v>000 - 000</v>
      </c>
      <c r="AF6" s="18">
        <f>SamplingData[[#This Row],[Upper Range]]-SamplingData[[#This Row],[Span]]</f>
        <v>0</v>
      </c>
      <c r="AG6" s="18">
        <f>IF(ISNUMBER('General Info'!$B$42), ((SamplingData[[#This Row],[up/U Selection Probability]]) * 'General Info'!$B$44) - 1, 0)</f>
        <v>0.27024452207049832</v>
      </c>
      <c r="AH6" s="18">
        <f>IF(ISNUMBER('General Info'!$B$42), (SamplingData[[#This Row],[Running (cumulative) sum]] * ('General Info'!$B$42 -'General Info'!$B$43 + 1)) + 'General Info'!$B$43 - 1, 0)</f>
        <v>0.27024452207049832</v>
      </c>
      <c r="AI6" s="18" t="str">
        <f>IF(ISERROR(MATCH(SamplingData[[#This Row],[Batch by Type (p)]],SelectedPrecincts[Batch Name], 0)), "", INDEX(SelectedPrecincts[Draw], MATCH(SamplingData[[#This Row],[Batch by Type (p)]],SelectedPrecincts[Batch Name], 0)))</f>
        <v/>
      </c>
      <c r="AJ6" s="17">
        <f>IF(COUNTIF(SelectedPrecincts[Batch Name],SamplingData[[#This Row],[Batch by Type (p)]]) &lt;&gt; 0, COUNTIF(SelectedPrecincts[Batch Name],SamplingData[[#This Row],[Batch by Type (p)]]), 0)</f>
        <v>0</v>
      </c>
    </row>
    <row r="7" spans="1:36" ht="14.5" x14ac:dyDescent="0.35">
      <c r="A7" t="s">
        <v>218</v>
      </c>
      <c r="B7">
        <v>14</v>
      </c>
      <c r="C7">
        <v>0</v>
      </c>
      <c r="N7">
        <v>0</v>
      </c>
      <c r="O7">
        <v>1</v>
      </c>
      <c r="P7" s="17">
        <f>SUM(SamplingData[[#This Row],[Winning Candidate]:[Under Votes]])</f>
        <v>15</v>
      </c>
      <c r="Q7" s="18">
        <f>IF(AND(SamplingData[[#This Row],[Total]]&lt;&gt; 0, NOT(ISBLANK(SamplingData[[#This Row],[Losing Candidate]]))),(SamplingData[[#This Row],[Total]]+SamplingData[[#This Row],[Winning Candidate]]-SamplingData[[#This Row],[Losing Candidate]])/(SamplingData[[#Totals],[Winning Candidate]]-SamplingData[[#Totals],[Losing Candidate]]), 0)</f>
        <v>6.13107822410148E-2</v>
      </c>
      <c r="R7" s="18">
        <f>IF(AND(SamplingData[[#This Row],[Total]]&lt;&gt; 0, NOT(ISBLANK(SamplingData[[#This Row],[Candidate 3]]))),(SamplingData[[#This Row],[Total]]+SamplingData[[#This Row],[Winning Candidate]]-SamplingData[[#This Row],[Candidate 3]])/(SamplingData[[#Totals],[Winning Candidate]]-SamplingData[[#Totals],[Candidate 3]]), 0)</f>
        <v>0</v>
      </c>
      <c r="S7" s="18">
        <f>IF(AND(SamplingData[[#This Row],[Total]]&lt;&gt; 0, NOT(ISBLANK(SamplingData[[#This Row],[Candidate 4]]))),(SamplingData[[#This Row],[Total]]+SamplingData[[#This Row],[Winning Candidate]]-SamplingData[[#This Row],[Candidate 4]])/(SamplingData[[#Totals],[Winning Candidate]]-SamplingData[[#Totals],[Candidate 4]]), 0)</f>
        <v>0</v>
      </c>
      <c r="T7" s="18">
        <f>IF(AND(SamplingData[[#This Row],[Total]]&lt;&gt; 0, NOT(ISBLANK(SamplingData[[#This Row],[Candidate 5]]))),(SamplingData[[#This Row],[Total]]+SamplingData[[#This Row],[Winning Candidate]]-SamplingData[[#This Row],[Candidate 5]])/(SamplingData[[#Totals],[Winning Candidate]]-SamplingData[[#Totals],[Candidate 5]]), 0)</f>
        <v>0</v>
      </c>
      <c r="U7" s="18">
        <f>IF(AND(SamplingData[[#This Row],[Total]]&lt;&gt; 0, NOT(ISBLANK(SamplingData[[#This Row],[Candidate 6]]))),(SamplingData[[#This Row],[Total]]+SamplingData[[#This Row],[Losing Candidate]]-SamplingData[[#This Row],[Candidate 6]])/(SamplingData[[#Totals],[Winning Candidate]]-SamplingData[[#Totals],[Candidate 6]]), 0)</f>
        <v>0</v>
      </c>
      <c r="V7" s="18">
        <f>IF(AND(SamplingData[[#This Row],[Total]]&lt;&gt; 0, NOT(ISBLANK(SamplingData[[#This Row],[Candidate 7]]))),(SamplingData[[#This Row],[Total]]+SamplingData[[#This Row],[Winning Candidate]]-SamplingData[[#This Row],[Candidate 7]])/(SamplingData[[#Totals],[Winning Candidate]]-SamplingData[[#Totals],[Candidate 7]]), 0)</f>
        <v>0</v>
      </c>
      <c r="W7" s="18">
        <f>IF(AND(SamplingData[[#This Row],[Total]]&lt;&gt; 0, NOT(ISBLANK(SamplingData[[#This Row],[Candidate 8]]))),(SamplingData[[#This Row],[Total]]+SamplingData[[#This Row],[Winning Candidate]]-SamplingData[[#This Row],[Candidate 8]])/(SamplingData[[#Totals],[Winning Candidate]]-SamplingData[[#Totals],[Candidate 8]]), 0)</f>
        <v>0</v>
      </c>
      <c r="X7"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7"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7"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7"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7" s="18">
        <f>MAX(SamplingData[[#This Row],[Error Bound (up) - Max. possible relative overstatement - Losing Candidate]:[Error Bound (up) - Max. possible relative overstatement - Candidate 12]])</f>
        <v>6.13107822410148E-2</v>
      </c>
      <c r="AC7" s="18">
        <f>IF(SamplingData[[#This Row],[Max Error Bound (up)]] = 0,0,SamplingData[[#This Row],[Max Error Bound (up)]]/SamplingData[[#Totals],[Max Error Bound (up)]])</f>
        <v>4.6046363925055563E-3</v>
      </c>
      <c r="AD7" s="18">
        <f>SUM($AC$5:AC7)</f>
        <v>5.8748809145760545E-3</v>
      </c>
      <c r="AE7" s="18" t="str">
        <f t="array" ref="AE7">IF(SamplingData[[#This Row],[up/U Selection Probability]] = 0, "Zero", TEXT(SamplingData[[#This Row],[Lower Range]], REPT("0",LEN('General Info'!$B$42))) &amp; " - " &amp; TEXT(SamplingData[[#This Row],[Upper Range]], REPT("0",LEN('General Info'!$B$42))))</f>
        <v>001 - 005</v>
      </c>
      <c r="AF7" s="18">
        <f>SamplingData[[#This Row],[Upper Range]]-SamplingData[[#This Row],[Span]]</f>
        <v>1.2702445220704979</v>
      </c>
      <c r="AG7" s="18">
        <f>IF(ISNUMBER('General Info'!$B$42), ((SamplingData[[#This Row],[up/U Selection Probability]]) * 'General Info'!$B$44) - 1, 0)</f>
        <v>3.6046363925055562</v>
      </c>
      <c r="AH7" s="18">
        <f>IF(ISNUMBER('General Info'!$B$42), (SamplingData[[#This Row],[Running (cumulative) sum]] * ('General Info'!$B$42 -'General Info'!$B$43 + 1)) + 'General Info'!$B$43 - 1, 0)</f>
        <v>4.8748809145760541</v>
      </c>
      <c r="AI7" s="18" t="str">
        <f>IF(ISERROR(MATCH(SamplingData[[#This Row],[Batch by Type (p)]],SelectedPrecincts[Batch Name], 0)), "", INDEX(SelectedPrecincts[Draw], MATCH(SamplingData[[#This Row],[Batch by Type (p)]],SelectedPrecincts[Batch Name], 0)))</f>
        <v/>
      </c>
      <c r="AJ7" s="17">
        <f>IF(COUNTIF(SelectedPrecincts[Batch Name],SamplingData[[#This Row],[Batch by Type (p)]]) &lt;&gt; 0, COUNTIF(SelectedPrecincts[Batch Name],SamplingData[[#This Row],[Batch by Type (p)]]), 0)</f>
        <v>0</v>
      </c>
    </row>
    <row r="8" spans="1:36" ht="14.5" x14ac:dyDescent="0.35">
      <c r="A8" t="s">
        <v>219</v>
      </c>
      <c r="B8">
        <v>14</v>
      </c>
      <c r="C8">
        <v>10</v>
      </c>
      <c r="N8">
        <v>0</v>
      </c>
      <c r="O8">
        <v>0</v>
      </c>
      <c r="P8" s="17">
        <f>SUM(SamplingData[[#This Row],[Winning Candidate]:[Under Votes]])</f>
        <v>24</v>
      </c>
      <c r="Q8" s="18">
        <f>IF(AND(SamplingData[[#This Row],[Total]]&lt;&gt; 0, NOT(ISBLANK(SamplingData[[#This Row],[Losing Candidate]]))),(SamplingData[[#This Row],[Total]]+SamplingData[[#This Row],[Winning Candidate]]-SamplingData[[#This Row],[Losing Candidate]])/(SamplingData[[#Totals],[Winning Candidate]]-SamplingData[[#Totals],[Losing Candidate]]), 0)</f>
        <v>5.9196617336152217E-2</v>
      </c>
      <c r="R8" s="18">
        <f>IF(AND(SamplingData[[#This Row],[Total]]&lt;&gt; 0, NOT(ISBLANK(SamplingData[[#This Row],[Candidate 3]]))),(SamplingData[[#This Row],[Total]]+SamplingData[[#This Row],[Winning Candidate]]-SamplingData[[#This Row],[Candidate 3]])/(SamplingData[[#Totals],[Winning Candidate]]-SamplingData[[#Totals],[Candidate 3]]), 0)</f>
        <v>0</v>
      </c>
      <c r="S8" s="18">
        <f>IF(AND(SamplingData[[#This Row],[Total]]&lt;&gt; 0, NOT(ISBLANK(SamplingData[[#This Row],[Candidate 4]]))),(SamplingData[[#This Row],[Total]]+SamplingData[[#This Row],[Winning Candidate]]-SamplingData[[#This Row],[Candidate 4]])/(SamplingData[[#Totals],[Winning Candidate]]-SamplingData[[#Totals],[Candidate 4]]), 0)</f>
        <v>0</v>
      </c>
      <c r="T8" s="18">
        <f>IF(AND(SamplingData[[#This Row],[Total]]&lt;&gt; 0, NOT(ISBLANK(SamplingData[[#This Row],[Candidate 5]]))),(SamplingData[[#This Row],[Total]]+SamplingData[[#This Row],[Winning Candidate]]-SamplingData[[#This Row],[Candidate 5]])/(SamplingData[[#Totals],[Winning Candidate]]-SamplingData[[#Totals],[Candidate 5]]), 0)</f>
        <v>0</v>
      </c>
      <c r="U8" s="18">
        <f>IF(AND(SamplingData[[#This Row],[Total]]&lt;&gt; 0, NOT(ISBLANK(SamplingData[[#This Row],[Candidate 6]]))),(SamplingData[[#This Row],[Total]]+SamplingData[[#This Row],[Losing Candidate]]-SamplingData[[#This Row],[Candidate 6]])/(SamplingData[[#Totals],[Winning Candidate]]-SamplingData[[#Totals],[Candidate 6]]), 0)</f>
        <v>0</v>
      </c>
      <c r="V8" s="18">
        <f>IF(AND(SamplingData[[#This Row],[Total]]&lt;&gt; 0, NOT(ISBLANK(SamplingData[[#This Row],[Candidate 7]]))),(SamplingData[[#This Row],[Total]]+SamplingData[[#This Row],[Winning Candidate]]-SamplingData[[#This Row],[Candidate 7]])/(SamplingData[[#Totals],[Winning Candidate]]-SamplingData[[#Totals],[Candidate 7]]), 0)</f>
        <v>0</v>
      </c>
      <c r="W8" s="18">
        <f>IF(AND(SamplingData[[#This Row],[Total]]&lt;&gt; 0, NOT(ISBLANK(SamplingData[[#This Row],[Candidate 8]]))),(SamplingData[[#This Row],[Total]]+SamplingData[[#This Row],[Winning Candidate]]-SamplingData[[#This Row],[Candidate 8]])/(SamplingData[[#Totals],[Winning Candidate]]-SamplingData[[#Totals],[Candidate 8]]), 0)</f>
        <v>0</v>
      </c>
      <c r="X8"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8"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8"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8"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8" s="18">
        <f>MAX(SamplingData[[#This Row],[Error Bound (up) - Max. possible relative overstatement - Losing Candidate]:[Error Bound (up) - Max. possible relative overstatement - Candidate 12]])</f>
        <v>5.9196617336152217E-2</v>
      </c>
      <c r="AC8" s="18">
        <f>IF(SamplingData[[#This Row],[Max Error Bound (up)]] = 0,0,SamplingData[[#This Row],[Max Error Bound (up)]]/SamplingData[[#Totals],[Max Error Bound (up)]])</f>
        <v>4.4458558272467445E-3</v>
      </c>
      <c r="AD8" s="18">
        <f>SUM($AC$5:AC8)</f>
        <v>1.0320736741822798E-2</v>
      </c>
      <c r="AE8" s="18" t="str">
        <f t="array" ref="AE8">IF(SamplingData[[#This Row],[up/U Selection Probability]] = 0, "Zero", TEXT(SamplingData[[#This Row],[Lower Range]], REPT("0",LEN('General Info'!$B$42))) &amp; " - " &amp; TEXT(SamplingData[[#This Row],[Upper Range]], REPT("0",LEN('General Info'!$B$42))))</f>
        <v>006 - 009</v>
      </c>
      <c r="AF8" s="18">
        <f>SamplingData[[#This Row],[Upper Range]]-SamplingData[[#This Row],[Span]]</f>
        <v>5.8748809145760541</v>
      </c>
      <c r="AG8" s="18">
        <f>IF(ISNUMBER('General Info'!$B$42), ((SamplingData[[#This Row],[up/U Selection Probability]]) * 'General Info'!$B$44) - 1, 0)</f>
        <v>3.4458558272467448</v>
      </c>
      <c r="AH8" s="18">
        <f>IF(ISNUMBER('General Info'!$B$42), (SamplingData[[#This Row],[Running (cumulative) sum]] * ('General Info'!$B$42 -'General Info'!$B$43 + 1)) + 'General Info'!$B$43 - 1, 0)</f>
        <v>9.3207367418227989</v>
      </c>
      <c r="AI8" s="18" t="str">
        <f>IF(ISERROR(MATCH(SamplingData[[#This Row],[Batch by Type (p)]],SelectedPrecincts[Batch Name], 0)), "", INDEX(SelectedPrecincts[Draw], MATCH(SamplingData[[#This Row],[Batch by Type (p)]],SelectedPrecincts[Batch Name], 0)))</f>
        <v/>
      </c>
      <c r="AJ8" s="17">
        <f>IF(COUNTIF(SelectedPrecincts[Batch Name],SamplingData[[#This Row],[Batch by Type (p)]]) &lt;&gt; 0, COUNTIF(SelectedPrecincts[Batch Name],SamplingData[[#This Row],[Batch by Type (p)]]), 0)</f>
        <v>0</v>
      </c>
    </row>
    <row r="9" spans="1:36" ht="14.5" x14ac:dyDescent="0.35">
      <c r="A9" t="s">
        <v>220</v>
      </c>
      <c r="B9">
        <v>14</v>
      </c>
      <c r="C9">
        <v>24</v>
      </c>
      <c r="N9">
        <v>0</v>
      </c>
      <c r="O9">
        <v>0</v>
      </c>
      <c r="P9" s="17">
        <f>SUM(SamplingData[[#This Row],[Winning Candidate]:[Under Votes]])</f>
        <v>38</v>
      </c>
      <c r="Q9" s="18">
        <f>IF(AND(SamplingData[[#This Row],[Total]]&lt;&gt; 0, NOT(ISBLANK(SamplingData[[#This Row],[Losing Candidate]]))),(SamplingData[[#This Row],[Total]]+SamplingData[[#This Row],[Winning Candidate]]-SamplingData[[#This Row],[Losing Candidate]])/(SamplingData[[#Totals],[Winning Candidate]]-SamplingData[[#Totals],[Losing Candidate]]), 0)</f>
        <v>5.9196617336152217E-2</v>
      </c>
      <c r="R9" s="18">
        <f>IF(AND(SamplingData[[#This Row],[Total]]&lt;&gt; 0, NOT(ISBLANK(SamplingData[[#This Row],[Candidate 3]]))),(SamplingData[[#This Row],[Total]]+SamplingData[[#This Row],[Winning Candidate]]-SamplingData[[#This Row],[Candidate 3]])/(SamplingData[[#Totals],[Winning Candidate]]-SamplingData[[#Totals],[Candidate 3]]), 0)</f>
        <v>0</v>
      </c>
      <c r="S9" s="18">
        <f>IF(AND(SamplingData[[#This Row],[Total]]&lt;&gt; 0, NOT(ISBLANK(SamplingData[[#This Row],[Candidate 4]]))),(SamplingData[[#This Row],[Total]]+SamplingData[[#This Row],[Winning Candidate]]-SamplingData[[#This Row],[Candidate 4]])/(SamplingData[[#Totals],[Winning Candidate]]-SamplingData[[#Totals],[Candidate 4]]), 0)</f>
        <v>0</v>
      </c>
      <c r="T9" s="18">
        <f>IF(AND(SamplingData[[#This Row],[Total]]&lt;&gt; 0, NOT(ISBLANK(SamplingData[[#This Row],[Candidate 5]]))),(SamplingData[[#This Row],[Total]]+SamplingData[[#This Row],[Winning Candidate]]-SamplingData[[#This Row],[Candidate 5]])/(SamplingData[[#Totals],[Winning Candidate]]-SamplingData[[#Totals],[Candidate 5]]), 0)</f>
        <v>0</v>
      </c>
      <c r="U9" s="18">
        <f>IF(AND(SamplingData[[#This Row],[Total]]&lt;&gt; 0, NOT(ISBLANK(SamplingData[[#This Row],[Candidate 6]]))),(SamplingData[[#This Row],[Total]]+SamplingData[[#This Row],[Losing Candidate]]-SamplingData[[#This Row],[Candidate 6]])/(SamplingData[[#Totals],[Winning Candidate]]-SamplingData[[#Totals],[Candidate 6]]), 0)</f>
        <v>0</v>
      </c>
      <c r="V9" s="18">
        <f>IF(AND(SamplingData[[#This Row],[Total]]&lt;&gt; 0, NOT(ISBLANK(SamplingData[[#This Row],[Candidate 7]]))),(SamplingData[[#This Row],[Total]]+SamplingData[[#This Row],[Winning Candidate]]-SamplingData[[#This Row],[Candidate 7]])/(SamplingData[[#Totals],[Winning Candidate]]-SamplingData[[#Totals],[Candidate 7]]), 0)</f>
        <v>0</v>
      </c>
      <c r="W9" s="18">
        <f>IF(AND(SamplingData[[#This Row],[Total]]&lt;&gt; 0, NOT(ISBLANK(SamplingData[[#This Row],[Candidate 8]]))),(SamplingData[[#This Row],[Total]]+SamplingData[[#This Row],[Winning Candidate]]-SamplingData[[#This Row],[Candidate 8]])/(SamplingData[[#Totals],[Winning Candidate]]-SamplingData[[#Totals],[Candidate 8]]), 0)</f>
        <v>0</v>
      </c>
      <c r="X9"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9"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9"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9"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9" s="18">
        <f>MAX(SamplingData[[#This Row],[Error Bound (up) - Max. possible relative overstatement - Losing Candidate]:[Error Bound (up) - Max. possible relative overstatement - Candidate 12]])</f>
        <v>5.9196617336152217E-2</v>
      </c>
      <c r="AC9" s="18">
        <f>IF(SamplingData[[#This Row],[Max Error Bound (up)]] = 0,0,SamplingData[[#This Row],[Max Error Bound (up)]]/SamplingData[[#Totals],[Max Error Bound (up)]])</f>
        <v>4.4458558272467445E-3</v>
      </c>
      <c r="AD9" s="18">
        <f>SUM($AC$5:AC9)</f>
        <v>1.4766592569069543E-2</v>
      </c>
      <c r="AE9" s="18" t="str">
        <f t="array" ref="AE9">IF(SamplingData[[#This Row],[up/U Selection Probability]] = 0, "Zero", TEXT(SamplingData[[#This Row],[Lower Range]], REPT("0",LEN('General Info'!$B$42))) &amp; " - " &amp; TEXT(SamplingData[[#This Row],[Upper Range]], REPT("0",LEN('General Info'!$B$42))))</f>
        <v>010 - 014</v>
      </c>
      <c r="AF9" s="18">
        <f>SamplingData[[#This Row],[Upper Range]]-SamplingData[[#This Row],[Span]]</f>
        <v>10.320736741822799</v>
      </c>
      <c r="AG9" s="18">
        <f>IF(ISNUMBER('General Info'!$B$42), ((SamplingData[[#This Row],[up/U Selection Probability]]) * 'General Info'!$B$44) - 1, 0)</f>
        <v>3.4458558272467448</v>
      </c>
      <c r="AH9" s="18">
        <f>IF(ISNUMBER('General Info'!$B$42), (SamplingData[[#This Row],[Running (cumulative) sum]] * ('General Info'!$B$42 -'General Info'!$B$43 + 1)) + 'General Info'!$B$43 - 1, 0)</f>
        <v>13.766592569069543</v>
      </c>
      <c r="AI9" s="18" t="str">
        <f>IF(ISERROR(MATCH(SamplingData[[#This Row],[Batch by Type (p)]],SelectedPrecincts[Batch Name], 0)), "", INDEX(SelectedPrecincts[Draw], MATCH(SamplingData[[#This Row],[Batch by Type (p)]],SelectedPrecincts[Batch Name], 0)))</f>
        <v/>
      </c>
      <c r="AJ9" s="17">
        <f>IF(COUNTIF(SelectedPrecincts[Batch Name],SamplingData[[#This Row],[Batch by Type (p)]]) &lt;&gt; 0, COUNTIF(SelectedPrecincts[Batch Name],SamplingData[[#This Row],[Batch by Type (p)]]), 0)</f>
        <v>0</v>
      </c>
    </row>
    <row r="10" spans="1:36" ht="14.5" x14ac:dyDescent="0.35">
      <c r="A10" t="s">
        <v>221</v>
      </c>
      <c r="B10">
        <v>9</v>
      </c>
      <c r="C10">
        <v>11</v>
      </c>
      <c r="N10">
        <v>0</v>
      </c>
      <c r="O10">
        <v>0</v>
      </c>
      <c r="P10" s="17">
        <f>SUM(SamplingData[[#This Row],[Winning Candidate]:[Under Votes]])</f>
        <v>20</v>
      </c>
      <c r="Q10" s="18">
        <f>IF(AND(SamplingData[[#This Row],[Total]]&lt;&gt; 0, NOT(ISBLANK(SamplingData[[#This Row],[Losing Candidate]]))),(SamplingData[[#This Row],[Total]]+SamplingData[[#This Row],[Winning Candidate]]-SamplingData[[#This Row],[Losing Candidate]])/(SamplingData[[#Totals],[Winning Candidate]]-SamplingData[[#Totals],[Losing Candidate]]), 0)</f>
        <v>3.8054968287526428E-2</v>
      </c>
      <c r="R10" s="18">
        <f>IF(AND(SamplingData[[#This Row],[Total]]&lt;&gt; 0, NOT(ISBLANK(SamplingData[[#This Row],[Candidate 3]]))),(SamplingData[[#This Row],[Total]]+SamplingData[[#This Row],[Winning Candidate]]-SamplingData[[#This Row],[Candidate 3]])/(SamplingData[[#Totals],[Winning Candidate]]-SamplingData[[#Totals],[Candidate 3]]), 0)</f>
        <v>0</v>
      </c>
      <c r="S10" s="18">
        <f>IF(AND(SamplingData[[#This Row],[Total]]&lt;&gt; 0, NOT(ISBLANK(SamplingData[[#This Row],[Candidate 4]]))),(SamplingData[[#This Row],[Total]]+SamplingData[[#This Row],[Winning Candidate]]-SamplingData[[#This Row],[Candidate 4]])/(SamplingData[[#Totals],[Winning Candidate]]-SamplingData[[#Totals],[Candidate 4]]), 0)</f>
        <v>0</v>
      </c>
      <c r="T10" s="18">
        <f>IF(AND(SamplingData[[#This Row],[Total]]&lt;&gt; 0, NOT(ISBLANK(SamplingData[[#This Row],[Candidate 5]]))),(SamplingData[[#This Row],[Total]]+SamplingData[[#This Row],[Winning Candidate]]-SamplingData[[#This Row],[Candidate 5]])/(SamplingData[[#Totals],[Winning Candidate]]-SamplingData[[#Totals],[Candidate 5]]), 0)</f>
        <v>0</v>
      </c>
      <c r="U10" s="18">
        <f>IF(AND(SamplingData[[#This Row],[Total]]&lt;&gt; 0, NOT(ISBLANK(SamplingData[[#This Row],[Candidate 6]]))),(SamplingData[[#This Row],[Total]]+SamplingData[[#This Row],[Losing Candidate]]-SamplingData[[#This Row],[Candidate 6]])/(SamplingData[[#Totals],[Winning Candidate]]-SamplingData[[#Totals],[Candidate 6]]), 0)</f>
        <v>0</v>
      </c>
      <c r="V10" s="18">
        <f>IF(AND(SamplingData[[#This Row],[Total]]&lt;&gt; 0, NOT(ISBLANK(SamplingData[[#This Row],[Candidate 7]]))),(SamplingData[[#This Row],[Total]]+SamplingData[[#This Row],[Winning Candidate]]-SamplingData[[#This Row],[Candidate 7]])/(SamplingData[[#Totals],[Winning Candidate]]-SamplingData[[#Totals],[Candidate 7]]), 0)</f>
        <v>0</v>
      </c>
      <c r="W10" s="18">
        <f>IF(AND(SamplingData[[#This Row],[Total]]&lt;&gt; 0, NOT(ISBLANK(SamplingData[[#This Row],[Candidate 8]]))),(SamplingData[[#This Row],[Total]]+SamplingData[[#This Row],[Winning Candidate]]-SamplingData[[#This Row],[Candidate 8]])/(SamplingData[[#Totals],[Winning Candidate]]-SamplingData[[#Totals],[Candidate 8]]), 0)</f>
        <v>0</v>
      </c>
      <c r="X10"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0"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0"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0"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0" s="18">
        <f>MAX(SamplingData[[#This Row],[Error Bound (up) - Max. possible relative overstatement - Losing Candidate]:[Error Bound (up) - Max. possible relative overstatement - Candidate 12]])</f>
        <v>3.8054968287526428E-2</v>
      </c>
      <c r="AC10" s="18">
        <f>IF(SamplingData[[#This Row],[Max Error Bound (up)]] = 0,0,SamplingData[[#This Row],[Max Error Bound (up)]]/SamplingData[[#Totals],[Max Error Bound (up)]])</f>
        <v>2.8580501746586213E-3</v>
      </c>
      <c r="AD10" s="18">
        <f>SUM($AC$5:AC10)</f>
        <v>1.7624642743728165E-2</v>
      </c>
      <c r="AE10" s="18" t="str">
        <f t="array" ref="AE10">IF(SamplingData[[#This Row],[up/U Selection Probability]] = 0, "Zero", TEXT(SamplingData[[#This Row],[Lower Range]], REPT("0",LEN('General Info'!$B$42))) &amp; " - " &amp; TEXT(SamplingData[[#This Row],[Upper Range]], REPT("0",LEN('General Info'!$B$42))))</f>
        <v>015 - 017</v>
      </c>
      <c r="AF10" s="18">
        <f>SamplingData[[#This Row],[Upper Range]]-SamplingData[[#This Row],[Span]]</f>
        <v>14.766592569069545</v>
      </c>
      <c r="AG10" s="18">
        <f>IF(ISNUMBER('General Info'!$B$42), ((SamplingData[[#This Row],[up/U Selection Probability]]) * 'General Info'!$B$44) - 1, 0)</f>
        <v>1.8580501746586213</v>
      </c>
      <c r="AH10" s="18">
        <f>IF(ISNUMBER('General Info'!$B$42), (SamplingData[[#This Row],[Running (cumulative) sum]] * ('General Info'!$B$42 -'General Info'!$B$43 + 1)) + 'General Info'!$B$43 - 1, 0)</f>
        <v>16.624642743728167</v>
      </c>
      <c r="AI10" s="18" t="str">
        <f>IF(ISERROR(MATCH(SamplingData[[#This Row],[Batch by Type (p)]],SelectedPrecincts[Batch Name], 0)), "", INDEX(SelectedPrecincts[Draw], MATCH(SamplingData[[#This Row],[Batch by Type (p)]],SelectedPrecincts[Batch Name], 0)))</f>
        <v/>
      </c>
      <c r="AJ10" s="17">
        <f>IF(COUNTIF(SelectedPrecincts[Batch Name],SamplingData[[#This Row],[Batch by Type (p)]]) &lt;&gt; 0, COUNTIF(SelectedPrecincts[Batch Name],SamplingData[[#This Row],[Batch by Type (p)]]), 0)</f>
        <v>0</v>
      </c>
    </row>
    <row r="11" spans="1:36" ht="14.5" x14ac:dyDescent="0.35">
      <c r="A11" t="s">
        <v>222</v>
      </c>
      <c r="B11">
        <v>14</v>
      </c>
      <c r="C11">
        <v>9</v>
      </c>
      <c r="N11">
        <v>0</v>
      </c>
      <c r="O11">
        <v>0</v>
      </c>
      <c r="P11" s="17">
        <f>SUM(SamplingData[[#This Row],[Winning Candidate]:[Under Votes]])</f>
        <v>23</v>
      </c>
      <c r="Q11" s="18">
        <f>IF(AND(SamplingData[[#This Row],[Total]]&lt;&gt; 0, NOT(ISBLANK(SamplingData[[#This Row],[Losing Candidate]]))),(SamplingData[[#This Row],[Total]]+SamplingData[[#This Row],[Winning Candidate]]-SamplingData[[#This Row],[Losing Candidate]])/(SamplingData[[#Totals],[Winning Candidate]]-SamplingData[[#Totals],[Losing Candidate]]), 0)</f>
        <v>5.9196617336152217E-2</v>
      </c>
      <c r="R11" s="18">
        <f>IF(AND(SamplingData[[#This Row],[Total]]&lt;&gt; 0, NOT(ISBLANK(SamplingData[[#This Row],[Candidate 3]]))),(SamplingData[[#This Row],[Total]]+SamplingData[[#This Row],[Winning Candidate]]-SamplingData[[#This Row],[Candidate 3]])/(SamplingData[[#Totals],[Winning Candidate]]-SamplingData[[#Totals],[Candidate 3]]), 0)</f>
        <v>0</v>
      </c>
      <c r="S11" s="18">
        <f>IF(AND(SamplingData[[#This Row],[Total]]&lt;&gt; 0, NOT(ISBLANK(SamplingData[[#This Row],[Candidate 4]]))),(SamplingData[[#This Row],[Total]]+SamplingData[[#This Row],[Winning Candidate]]-SamplingData[[#This Row],[Candidate 4]])/(SamplingData[[#Totals],[Winning Candidate]]-SamplingData[[#Totals],[Candidate 4]]), 0)</f>
        <v>0</v>
      </c>
      <c r="T11" s="18">
        <f>IF(AND(SamplingData[[#This Row],[Total]]&lt;&gt; 0, NOT(ISBLANK(SamplingData[[#This Row],[Candidate 5]]))),(SamplingData[[#This Row],[Total]]+SamplingData[[#This Row],[Winning Candidate]]-SamplingData[[#This Row],[Candidate 5]])/(SamplingData[[#Totals],[Winning Candidate]]-SamplingData[[#Totals],[Candidate 5]]), 0)</f>
        <v>0</v>
      </c>
      <c r="U11" s="18">
        <f>IF(AND(SamplingData[[#This Row],[Total]]&lt;&gt; 0, NOT(ISBLANK(SamplingData[[#This Row],[Candidate 6]]))),(SamplingData[[#This Row],[Total]]+SamplingData[[#This Row],[Losing Candidate]]-SamplingData[[#This Row],[Candidate 6]])/(SamplingData[[#Totals],[Winning Candidate]]-SamplingData[[#Totals],[Candidate 6]]), 0)</f>
        <v>0</v>
      </c>
      <c r="V11" s="18">
        <f>IF(AND(SamplingData[[#This Row],[Total]]&lt;&gt; 0, NOT(ISBLANK(SamplingData[[#This Row],[Candidate 7]]))),(SamplingData[[#This Row],[Total]]+SamplingData[[#This Row],[Winning Candidate]]-SamplingData[[#This Row],[Candidate 7]])/(SamplingData[[#Totals],[Winning Candidate]]-SamplingData[[#Totals],[Candidate 7]]), 0)</f>
        <v>0</v>
      </c>
      <c r="W11" s="18">
        <f>IF(AND(SamplingData[[#This Row],[Total]]&lt;&gt; 0, NOT(ISBLANK(SamplingData[[#This Row],[Candidate 8]]))),(SamplingData[[#This Row],[Total]]+SamplingData[[#This Row],[Winning Candidate]]-SamplingData[[#This Row],[Candidate 8]])/(SamplingData[[#Totals],[Winning Candidate]]-SamplingData[[#Totals],[Candidate 8]]), 0)</f>
        <v>0</v>
      </c>
      <c r="X11"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1"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1"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1"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1" s="18">
        <f>MAX(SamplingData[[#This Row],[Error Bound (up) - Max. possible relative overstatement - Losing Candidate]:[Error Bound (up) - Max. possible relative overstatement - Candidate 12]])</f>
        <v>5.9196617336152217E-2</v>
      </c>
      <c r="AC11" s="18">
        <f>IF(SamplingData[[#This Row],[Max Error Bound (up)]] = 0,0,SamplingData[[#This Row],[Max Error Bound (up)]]/SamplingData[[#Totals],[Max Error Bound (up)]])</f>
        <v>4.4458558272467445E-3</v>
      </c>
      <c r="AD11" s="18">
        <f>SUM($AC$5:AC11)</f>
        <v>2.2070498570974911E-2</v>
      </c>
      <c r="AE11" s="18" t="str">
        <f t="array" ref="AE11">IF(SamplingData[[#This Row],[up/U Selection Probability]] = 0, "Zero", TEXT(SamplingData[[#This Row],[Lower Range]], REPT("0",LEN('General Info'!$B$42))) &amp; " - " &amp; TEXT(SamplingData[[#This Row],[Upper Range]], REPT("0",LEN('General Info'!$B$42))))</f>
        <v>018 - 021</v>
      </c>
      <c r="AF11" s="18">
        <f>SamplingData[[#This Row],[Upper Range]]-SamplingData[[#This Row],[Span]]</f>
        <v>17.624642743728163</v>
      </c>
      <c r="AG11" s="18">
        <f>IF(ISNUMBER('General Info'!$B$42), ((SamplingData[[#This Row],[up/U Selection Probability]]) * 'General Info'!$B$44) - 1, 0)</f>
        <v>3.4458558272467448</v>
      </c>
      <c r="AH11" s="18">
        <f>IF(ISNUMBER('General Info'!$B$42), (SamplingData[[#This Row],[Running (cumulative) sum]] * ('General Info'!$B$42 -'General Info'!$B$43 + 1)) + 'General Info'!$B$43 - 1, 0)</f>
        <v>21.070498570974909</v>
      </c>
      <c r="AI11" s="18" t="str">
        <f>IF(ISERROR(MATCH(SamplingData[[#This Row],[Batch by Type (p)]],SelectedPrecincts[Batch Name], 0)), "", INDEX(SelectedPrecincts[Draw], MATCH(SamplingData[[#This Row],[Batch by Type (p)]],SelectedPrecincts[Batch Name], 0)))</f>
        <v/>
      </c>
      <c r="AJ11" s="17">
        <f>IF(COUNTIF(SelectedPrecincts[Batch Name],SamplingData[[#This Row],[Batch by Type (p)]]) &lt;&gt; 0, COUNTIF(SelectedPrecincts[Batch Name],SamplingData[[#This Row],[Batch by Type (p)]]), 0)</f>
        <v>0</v>
      </c>
    </row>
    <row r="12" spans="1:36" ht="14.5" x14ac:dyDescent="0.35">
      <c r="A12" t="s">
        <v>223</v>
      </c>
      <c r="B12">
        <v>13</v>
      </c>
      <c r="C12">
        <v>16</v>
      </c>
      <c r="N12">
        <v>0</v>
      </c>
      <c r="O12">
        <v>0</v>
      </c>
      <c r="P12" s="17">
        <f>SUM(SamplingData[[#This Row],[Winning Candidate]:[Under Votes]])</f>
        <v>29</v>
      </c>
      <c r="Q12" s="18">
        <f>IF(AND(SamplingData[[#This Row],[Total]]&lt;&gt; 0, NOT(ISBLANK(SamplingData[[#This Row],[Losing Candidate]]))),(SamplingData[[#This Row],[Total]]+SamplingData[[#This Row],[Winning Candidate]]-SamplingData[[#This Row],[Losing Candidate]])/(SamplingData[[#Totals],[Winning Candidate]]-SamplingData[[#Totals],[Losing Candidate]]), 0)</f>
        <v>5.4968287526427059E-2</v>
      </c>
      <c r="R12" s="18">
        <f>IF(AND(SamplingData[[#This Row],[Total]]&lt;&gt; 0, NOT(ISBLANK(SamplingData[[#This Row],[Candidate 3]]))),(SamplingData[[#This Row],[Total]]+SamplingData[[#This Row],[Winning Candidate]]-SamplingData[[#This Row],[Candidate 3]])/(SamplingData[[#Totals],[Winning Candidate]]-SamplingData[[#Totals],[Candidate 3]]), 0)</f>
        <v>0</v>
      </c>
      <c r="S12" s="18">
        <f>IF(AND(SamplingData[[#This Row],[Total]]&lt;&gt; 0, NOT(ISBLANK(SamplingData[[#This Row],[Candidate 4]]))),(SamplingData[[#This Row],[Total]]+SamplingData[[#This Row],[Winning Candidate]]-SamplingData[[#This Row],[Candidate 4]])/(SamplingData[[#Totals],[Winning Candidate]]-SamplingData[[#Totals],[Candidate 4]]), 0)</f>
        <v>0</v>
      </c>
      <c r="T12" s="18">
        <f>IF(AND(SamplingData[[#This Row],[Total]]&lt;&gt; 0, NOT(ISBLANK(SamplingData[[#This Row],[Candidate 5]]))),(SamplingData[[#This Row],[Total]]+SamplingData[[#This Row],[Winning Candidate]]-SamplingData[[#This Row],[Candidate 5]])/(SamplingData[[#Totals],[Winning Candidate]]-SamplingData[[#Totals],[Candidate 5]]), 0)</f>
        <v>0</v>
      </c>
      <c r="U12" s="18">
        <f>IF(AND(SamplingData[[#This Row],[Total]]&lt;&gt; 0, NOT(ISBLANK(SamplingData[[#This Row],[Candidate 6]]))),(SamplingData[[#This Row],[Total]]+SamplingData[[#This Row],[Losing Candidate]]-SamplingData[[#This Row],[Candidate 6]])/(SamplingData[[#Totals],[Winning Candidate]]-SamplingData[[#Totals],[Candidate 6]]), 0)</f>
        <v>0</v>
      </c>
      <c r="V12" s="18">
        <f>IF(AND(SamplingData[[#This Row],[Total]]&lt;&gt; 0, NOT(ISBLANK(SamplingData[[#This Row],[Candidate 7]]))),(SamplingData[[#This Row],[Total]]+SamplingData[[#This Row],[Winning Candidate]]-SamplingData[[#This Row],[Candidate 7]])/(SamplingData[[#Totals],[Winning Candidate]]-SamplingData[[#Totals],[Candidate 7]]), 0)</f>
        <v>0</v>
      </c>
      <c r="W12" s="18">
        <f>IF(AND(SamplingData[[#This Row],[Total]]&lt;&gt; 0, NOT(ISBLANK(SamplingData[[#This Row],[Candidate 8]]))),(SamplingData[[#This Row],[Total]]+SamplingData[[#This Row],[Winning Candidate]]-SamplingData[[#This Row],[Candidate 8]])/(SamplingData[[#Totals],[Winning Candidate]]-SamplingData[[#Totals],[Candidate 8]]), 0)</f>
        <v>0</v>
      </c>
      <c r="X12"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2"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2"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2"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2" s="18">
        <f>MAX(SamplingData[[#This Row],[Error Bound (up) - Max. possible relative overstatement - Losing Candidate]:[Error Bound (up) - Max. possible relative overstatement - Candidate 12]])</f>
        <v>5.4968287526427059E-2</v>
      </c>
      <c r="AC12" s="18">
        <f>IF(SamplingData[[#This Row],[Max Error Bound (up)]] = 0,0,SamplingData[[#This Row],[Max Error Bound (up)]]/SamplingData[[#Totals],[Max Error Bound (up)]])</f>
        <v>4.1282946967291199E-3</v>
      </c>
      <c r="AD12" s="18">
        <f>SUM($AC$5:AC12)</f>
        <v>2.6198793267704031E-2</v>
      </c>
      <c r="AE12" s="18" t="str">
        <f t="array" ref="AE12">IF(SamplingData[[#This Row],[up/U Selection Probability]] = 0, "Zero", TEXT(SamplingData[[#This Row],[Lower Range]], REPT("0",LEN('General Info'!$B$42))) &amp; " - " &amp; TEXT(SamplingData[[#This Row],[Upper Range]], REPT("0",LEN('General Info'!$B$42))))</f>
        <v>022 - 025</v>
      </c>
      <c r="AF12" s="18">
        <f>SamplingData[[#This Row],[Upper Range]]-SamplingData[[#This Row],[Span]]</f>
        <v>22.070498570974909</v>
      </c>
      <c r="AG12" s="18">
        <f>IF(ISNUMBER('General Info'!$B$42), ((SamplingData[[#This Row],[up/U Selection Probability]]) * 'General Info'!$B$44) - 1, 0)</f>
        <v>3.1282946967291201</v>
      </c>
      <c r="AH12" s="18">
        <f>IF(ISNUMBER('General Info'!$B$42), (SamplingData[[#This Row],[Running (cumulative) sum]] * ('General Info'!$B$42 -'General Info'!$B$43 + 1)) + 'General Info'!$B$43 - 1, 0)</f>
        <v>25.19879326770403</v>
      </c>
      <c r="AI12" s="18" t="str">
        <f>IF(ISERROR(MATCH(SamplingData[[#This Row],[Batch by Type (p)]],SelectedPrecincts[Batch Name], 0)), "", INDEX(SelectedPrecincts[Draw], MATCH(SamplingData[[#This Row],[Batch by Type (p)]],SelectedPrecincts[Batch Name], 0)))</f>
        <v/>
      </c>
      <c r="AJ12" s="17">
        <f>IF(COUNTIF(SelectedPrecincts[Batch Name],SamplingData[[#This Row],[Batch by Type (p)]]) &lt;&gt; 0, COUNTIF(SelectedPrecincts[Batch Name],SamplingData[[#This Row],[Batch by Type (p)]]), 0)</f>
        <v>0</v>
      </c>
    </row>
    <row r="13" spans="1:36" ht="14.5" x14ac:dyDescent="0.35">
      <c r="A13" t="s">
        <v>224</v>
      </c>
      <c r="B13">
        <v>8</v>
      </c>
      <c r="C13">
        <v>4</v>
      </c>
      <c r="N13">
        <v>0</v>
      </c>
      <c r="O13">
        <v>0</v>
      </c>
      <c r="P13" s="17">
        <f>SUM(SamplingData[[#This Row],[Winning Candidate]:[Under Votes]])</f>
        <v>12</v>
      </c>
      <c r="Q13" s="18">
        <f>IF(AND(SamplingData[[#This Row],[Total]]&lt;&gt; 0, NOT(ISBLANK(SamplingData[[#This Row],[Losing Candidate]]))),(SamplingData[[#This Row],[Total]]+SamplingData[[#This Row],[Winning Candidate]]-SamplingData[[#This Row],[Losing Candidate]])/(SamplingData[[#Totals],[Winning Candidate]]-SamplingData[[#Totals],[Losing Candidate]]), 0)</f>
        <v>3.382663847780127E-2</v>
      </c>
      <c r="R13" s="18">
        <f>IF(AND(SamplingData[[#This Row],[Total]]&lt;&gt; 0, NOT(ISBLANK(SamplingData[[#This Row],[Candidate 3]]))),(SamplingData[[#This Row],[Total]]+SamplingData[[#This Row],[Winning Candidate]]-SamplingData[[#This Row],[Candidate 3]])/(SamplingData[[#Totals],[Winning Candidate]]-SamplingData[[#Totals],[Candidate 3]]), 0)</f>
        <v>0</v>
      </c>
      <c r="S13" s="18">
        <f>IF(AND(SamplingData[[#This Row],[Total]]&lt;&gt; 0, NOT(ISBLANK(SamplingData[[#This Row],[Candidate 4]]))),(SamplingData[[#This Row],[Total]]+SamplingData[[#This Row],[Winning Candidate]]-SamplingData[[#This Row],[Candidate 4]])/(SamplingData[[#Totals],[Winning Candidate]]-SamplingData[[#Totals],[Candidate 4]]), 0)</f>
        <v>0</v>
      </c>
      <c r="T13" s="18">
        <f>IF(AND(SamplingData[[#This Row],[Total]]&lt;&gt; 0, NOT(ISBLANK(SamplingData[[#This Row],[Candidate 5]]))),(SamplingData[[#This Row],[Total]]+SamplingData[[#This Row],[Winning Candidate]]-SamplingData[[#This Row],[Candidate 5]])/(SamplingData[[#Totals],[Winning Candidate]]-SamplingData[[#Totals],[Candidate 5]]), 0)</f>
        <v>0</v>
      </c>
      <c r="U13" s="18">
        <f>IF(AND(SamplingData[[#This Row],[Total]]&lt;&gt; 0, NOT(ISBLANK(SamplingData[[#This Row],[Candidate 6]]))),(SamplingData[[#This Row],[Total]]+SamplingData[[#This Row],[Losing Candidate]]-SamplingData[[#This Row],[Candidate 6]])/(SamplingData[[#Totals],[Winning Candidate]]-SamplingData[[#Totals],[Candidate 6]]), 0)</f>
        <v>0</v>
      </c>
      <c r="V13" s="18">
        <f>IF(AND(SamplingData[[#This Row],[Total]]&lt;&gt; 0, NOT(ISBLANK(SamplingData[[#This Row],[Candidate 7]]))),(SamplingData[[#This Row],[Total]]+SamplingData[[#This Row],[Winning Candidate]]-SamplingData[[#This Row],[Candidate 7]])/(SamplingData[[#Totals],[Winning Candidate]]-SamplingData[[#Totals],[Candidate 7]]), 0)</f>
        <v>0</v>
      </c>
      <c r="W13" s="18">
        <f>IF(AND(SamplingData[[#This Row],[Total]]&lt;&gt; 0, NOT(ISBLANK(SamplingData[[#This Row],[Candidate 8]]))),(SamplingData[[#This Row],[Total]]+SamplingData[[#This Row],[Winning Candidate]]-SamplingData[[#This Row],[Candidate 8]])/(SamplingData[[#Totals],[Winning Candidate]]-SamplingData[[#Totals],[Candidate 8]]), 0)</f>
        <v>0</v>
      </c>
      <c r="X13"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3"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3"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3"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3" s="18">
        <f>MAX(SamplingData[[#This Row],[Error Bound (up) - Max. possible relative overstatement - Losing Candidate]:[Error Bound (up) - Max. possible relative overstatement - Candidate 12]])</f>
        <v>3.382663847780127E-2</v>
      </c>
      <c r="AC13" s="18">
        <f>IF(SamplingData[[#This Row],[Max Error Bound (up)]] = 0,0,SamplingData[[#This Row],[Max Error Bound (up)]]/SamplingData[[#Totals],[Max Error Bound (up)]])</f>
        <v>2.5404890441409968E-3</v>
      </c>
      <c r="AD13" s="18">
        <f>SUM($AC$5:AC13)</f>
        <v>2.8739282311845027E-2</v>
      </c>
      <c r="AE13" s="18" t="str">
        <f t="array" ref="AE13">IF(SamplingData[[#This Row],[up/U Selection Probability]] = 0, "Zero", TEXT(SamplingData[[#This Row],[Lower Range]], REPT("0",LEN('General Info'!$B$42))) &amp; " - " &amp; TEXT(SamplingData[[#This Row],[Upper Range]], REPT("0",LEN('General Info'!$B$42))))</f>
        <v>026 - 028</v>
      </c>
      <c r="AF13" s="18">
        <f>SamplingData[[#This Row],[Upper Range]]-SamplingData[[#This Row],[Span]]</f>
        <v>26.19879326770403</v>
      </c>
      <c r="AG13" s="18">
        <f>IF(ISNUMBER('General Info'!$B$42), ((SamplingData[[#This Row],[up/U Selection Probability]]) * 'General Info'!$B$44) - 1, 0)</f>
        <v>1.5404890441409966</v>
      </c>
      <c r="AH13" s="18">
        <f>IF(ISNUMBER('General Info'!$B$42), (SamplingData[[#This Row],[Running (cumulative) sum]] * ('General Info'!$B$42 -'General Info'!$B$43 + 1)) + 'General Info'!$B$43 - 1, 0)</f>
        <v>27.739282311845027</v>
      </c>
      <c r="AI13" s="18" t="str">
        <f>IF(ISERROR(MATCH(SamplingData[[#This Row],[Batch by Type (p)]],SelectedPrecincts[Batch Name], 0)), "", INDEX(SelectedPrecincts[Draw], MATCH(SamplingData[[#This Row],[Batch by Type (p)]],SelectedPrecincts[Batch Name], 0)))</f>
        <v/>
      </c>
      <c r="AJ13" s="17">
        <f>IF(COUNTIF(SelectedPrecincts[Batch Name],SamplingData[[#This Row],[Batch by Type (p)]]) &lt;&gt; 0, COUNTIF(SelectedPrecincts[Batch Name],SamplingData[[#This Row],[Batch by Type (p)]]), 0)</f>
        <v>0</v>
      </c>
    </row>
    <row r="14" spans="1:36" ht="14.5" x14ac:dyDescent="0.35">
      <c r="A14" t="s">
        <v>225</v>
      </c>
      <c r="B14">
        <v>12</v>
      </c>
      <c r="C14">
        <v>5</v>
      </c>
      <c r="N14">
        <v>0</v>
      </c>
      <c r="O14">
        <v>0</v>
      </c>
      <c r="P14" s="17">
        <f>SUM(SamplingData[[#This Row],[Winning Candidate]:[Under Votes]])</f>
        <v>17</v>
      </c>
      <c r="Q14" s="18">
        <f>IF(AND(SamplingData[[#This Row],[Total]]&lt;&gt; 0, NOT(ISBLANK(SamplingData[[#This Row],[Losing Candidate]]))),(SamplingData[[#This Row],[Total]]+SamplingData[[#This Row],[Winning Candidate]]-SamplingData[[#This Row],[Losing Candidate]])/(SamplingData[[#Totals],[Winning Candidate]]-SamplingData[[#Totals],[Losing Candidate]]), 0)</f>
        <v>5.0739957716701901E-2</v>
      </c>
      <c r="R14" s="18">
        <f>IF(AND(SamplingData[[#This Row],[Total]]&lt;&gt; 0, NOT(ISBLANK(SamplingData[[#This Row],[Candidate 3]]))),(SamplingData[[#This Row],[Total]]+SamplingData[[#This Row],[Winning Candidate]]-SamplingData[[#This Row],[Candidate 3]])/(SamplingData[[#Totals],[Winning Candidate]]-SamplingData[[#Totals],[Candidate 3]]), 0)</f>
        <v>0</v>
      </c>
      <c r="S14" s="18">
        <f>IF(AND(SamplingData[[#This Row],[Total]]&lt;&gt; 0, NOT(ISBLANK(SamplingData[[#This Row],[Candidate 4]]))),(SamplingData[[#This Row],[Total]]+SamplingData[[#This Row],[Winning Candidate]]-SamplingData[[#This Row],[Candidate 4]])/(SamplingData[[#Totals],[Winning Candidate]]-SamplingData[[#Totals],[Candidate 4]]), 0)</f>
        <v>0</v>
      </c>
      <c r="T14" s="18">
        <f>IF(AND(SamplingData[[#This Row],[Total]]&lt;&gt; 0, NOT(ISBLANK(SamplingData[[#This Row],[Candidate 5]]))),(SamplingData[[#This Row],[Total]]+SamplingData[[#This Row],[Winning Candidate]]-SamplingData[[#This Row],[Candidate 5]])/(SamplingData[[#Totals],[Winning Candidate]]-SamplingData[[#Totals],[Candidate 5]]), 0)</f>
        <v>0</v>
      </c>
      <c r="U14" s="18">
        <f>IF(AND(SamplingData[[#This Row],[Total]]&lt;&gt; 0, NOT(ISBLANK(SamplingData[[#This Row],[Candidate 6]]))),(SamplingData[[#This Row],[Total]]+SamplingData[[#This Row],[Losing Candidate]]-SamplingData[[#This Row],[Candidate 6]])/(SamplingData[[#Totals],[Winning Candidate]]-SamplingData[[#Totals],[Candidate 6]]), 0)</f>
        <v>0</v>
      </c>
      <c r="V14" s="18">
        <f>IF(AND(SamplingData[[#This Row],[Total]]&lt;&gt; 0, NOT(ISBLANK(SamplingData[[#This Row],[Candidate 7]]))),(SamplingData[[#This Row],[Total]]+SamplingData[[#This Row],[Winning Candidate]]-SamplingData[[#This Row],[Candidate 7]])/(SamplingData[[#Totals],[Winning Candidate]]-SamplingData[[#Totals],[Candidate 7]]), 0)</f>
        <v>0</v>
      </c>
      <c r="W14" s="18">
        <f>IF(AND(SamplingData[[#This Row],[Total]]&lt;&gt; 0, NOT(ISBLANK(SamplingData[[#This Row],[Candidate 8]]))),(SamplingData[[#This Row],[Total]]+SamplingData[[#This Row],[Winning Candidate]]-SamplingData[[#This Row],[Candidate 8]])/(SamplingData[[#Totals],[Winning Candidate]]-SamplingData[[#Totals],[Candidate 8]]), 0)</f>
        <v>0</v>
      </c>
      <c r="X14" s="18">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4" s="18">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4" s="18">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4" s="18">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4" s="18">
        <f>MAX(SamplingData[[#This Row],[Error Bound (up) - Max. possible relative overstatement - Losing Candidate]:[Error Bound (up) - Max. possible relative overstatement - Candidate 12]])</f>
        <v>5.0739957716701901E-2</v>
      </c>
      <c r="AC14" s="18">
        <f>IF(SamplingData[[#This Row],[Max Error Bound (up)]] = 0,0,SamplingData[[#This Row],[Max Error Bound (up)]]/SamplingData[[#Totals],[Max Error Bound (up)]])</f>
        <v>3.810733566211495E-3</v>
      </c>
      <c r="AD14" s="18">
        <f>SUM($AC$5:AC14)</f>
        <v>3.2550015878056525E-2</v>
      </c>
      <c r="AE14" s="18" t="str">
        <f t="array" ref="AE14">IF(SamplingData[[#This Row],[up/U Selection Probability]] = 0, "Zero", TEXT(SamplingData[[#This Row],[Lower Range]], REPT("0",LEN('General Info'!$B$42))) &amp; " - " &amp; TEXT(SamplingData[[#This Row],[Upper Range]], REPT("0",LEN('General Info'!$B$42))))</f>
        <v>029 - 032</v>
      </c>
      <c r="AF14" s="18">
        <f>SamplingData[[#This Row],[Upper Range]]-SamplingData[[#This Row],[Span]]</f>
        <v>28.739282311845031</v>
      </c>
      <c r="AG14" s="18">
        <f>IF(ISNUMBER('General Info'!$B$42), ((SamplingData[[#This Row],[up/U Selection Probability]]) * 'General Info'!$B$44) - 1, 0)</f>
        <v>2.8107335662114949</v>
      </c>
      <c r="AH14" s="18">
        <f>IF(ISNUMBER('General Info'!$B$42), (SamplingData[[#This Row],[Running (cumulative) sum]] * ('General Info'!$B$42 -'General Info'!$B$43 + 1)) + 'General Info'!$B$43 - 1, 0)</f>
        <v>31.550015878056527</v>
      </c>
      <c r="AI14" s="18" t="str">
        <f>IF(ISERROR(MATCH(SamplingData[[#This Row],[Batch by Type (p)]],SelectedPrecincts[Batch Name], 0)), "", INDEX(SelectedPrecincts[Draw], MATCH(SamplingData[[#This Row],[Batch by Type (p)]],SelectedPrecincts[Batch Name], 0)))</f>
        <v/>
      </c>
      <c r="AJ14" s="17">
        <f>IF(COUNTIF(SelectedPrecincts[Batch Name],SamplingData[[#This Row],[Batch by Type (p)]]) &lt;&gt; 0, COUNTIF(SelectedPrecincts[Batch Name],SamplingData[[#This Row],[Batch by Type (p)]]), 0)</f>
        <v>0</v>
      </c>
    </row>
    <row r="15" spans="1:36" s="87" customFormat="1" ht="15" customHeight="1" x14ac:dyDescent="0.35">
      <c r="A15" s="98" t="s">
        <v>226</v>
      </c>
      <c r="B15" s="98">
        <v>10</v>
      </c>
      <c r="C15" s="98">
        <v>6</v>
      </c>
      <c r="D15" s="93"/>
      <c r="E15" s="93"/>
      <c r="F15" s="93"/>
      <c r="G15" s="97"/>
      <c r="H15" s="97"/>
      <c r="I15" s="93"/>
      <c r="J15" s="93"/>
      <c r="K15" s="93"/>
      <c r="L15" s="93"/>
      <c r="M15" s="93"/>
      <c r="N15" s="98">
        <v>0</v>
      </c>
      <c r="O15" s="98">
        <v>0</v>
      </c>
      <c r="P15" s="94">
        <f>SUM(SamplingData[[#This Row],[Winning Candidate]:[Under Votes]])</f>
        <v>16</v>
      </c>
      <c r="Q15" s="95">
        <f>IF(AND(SamplingData[[#This Row],[Total]]&lt;&gt; 0, NOT(ISBLANK(SamplingData[[#This Row],[Losing Candidate]]))),(SamplingData[[#This Row],[Total]]+SamplingData[[#This Row],[Winning Candidate]]-SamplingData[[#This Row],[Losing Candidate]])/(SamplingData[[#Totals],[Winning Candidate]]-SamplingData[[#Totals],[Losing Candidate]]), 0)</f>
        <v>4.2283298097251586E-2</v>
      </c>
      <c r="R15" s="95">
        <f>IF(AND(SamplingData[[#This Row],[Total]]&lt;&gt; 0, NOT(ISBLANK(SamplingData[[#This Row],[Candidate 3]]))),(SamplingData[[#This Row],[Total]]+SamplingData[[#This Row],[Winning Candidate]]-SamplingData[[#This Row],[Candidate 3]])/(SamplingData[[#Totals],[Winning Candidate]]-SamplingData[[#Totals],[Candidate 3]]), 0)</f>
        <v>0</v>
      </c>
      <c r="S15" s="95">
        <f>IF(AND(SamplingData[[#This Row],[Total]]&lt;&gt; 0, NOT(ISBLANK(SamplingData[[#This Row],[Candidate 4]]))),(SamplingData[[#This Row],[Total]]+SamplingData[[#This Row],[Winning Candidate]]-SamplingData[[#This Row],[Candidate 4]])/(SamplingData[[#Totals],[Winning Candidate]]-SamplingData[[#Totals],[Candidate 4]]), 0)</f>
        <v>0</v>
      </c>
      <c r="T15" s="95">
        <f>IF(AND(SamplingData[[#This Row],[Total]]&lt;&gt; 0, NOT(ISBLANK(SamplingData[[#This Row],[Candidate 5]]))),(SamplingData[[#This Row],[Total]]+SamplingData[[#This Row],[Winning Candidate]]-SamplingData[[#This Row],[Candidate 5]])/(SamplingData[[#Totals],[Winning Candidate]]-SamplingData[[#Totals],[Candidate 5]]), 0)</f>
        <v>0</v>
      </c>
      <c r="U15" s="95">
        <f>IF(AND(SamplingData[[#This Row],[Total]]&lt;&gt; 0, NOT(ISBLANK(SamplingData[[#This Row],[Candidate 6]]))),(SamplingData[[#This Row],[Total]]+SamplingData[[#This Row],[Losing Candidate]]-SamplingData[[#This Row],[Candidate 6]])/(SamplingData[[#Totals],[Winning Candidate]]-SamplingData[[#Totals],[Candidate 6]]), 0)</f>
        <v>0</v>
      </c>
      <c r="V15" s="95">
        <f>IF(AND(SamplingData[[#This Row],[Total]]&lt;&gt; 0, NOT(ISBLANK(SamplingData[[#This Row],[Candidate 7]]))),(SamplingData[[#This Row],[Total]]+SamplingData[[#This Row],[Winning Candidate]]-SamplingData[[#This Row],[Candidate 7]])/(SamplingData[[#Totals],[Winning Candidate]]-SamplingData[[#Totals],[Candidate 7]]), 0)</f>
        <v>0</v>
      </c>
      <c r="W15" s="95">
        <f>IF(AND(SamplingData[[#This Row],[Total]]&lt;&gt; 0, NOT(ISBLANK(SamplingData[[#This Row],[Candidate 8]]))),(SamplingData[[#This Row],[Total]]+SamplingData[[#This Row],[Winning Candidate]]-SamplingData[[#This Row],[Candidate 8]])/(SamplingData[[#Totals],[Winning Candidate]]-SamplingData[[#Totals],[Candidate 8]]), 0)</f>
        <v>0</v>
      </c>
      <c r="X15"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5"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5"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5"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5" s="95">
        <f>MAX(SamplingData[[#This Row],[Error Bound (up) - Max. possible relative overstatement - Losing Candidate]:[Error Bound (up) - Max. possible relative overstatement - Candidate 12]])</f>
        <v>4.2283298097251586E-2</v>
      </c>
      <c r="AC15" s="95">
        <f>IF(SamplingData[[#This Row],[Max Error Bound (up)]] = 0,0,SamplingData[[#This Row],[Max Error Bound (up)]]/SamplingData[[#Totals],[Max Error Bound (up)]])</f>
        <v>3.1756113051762459E-3</v>
      </c>
      <c r="AD15" s="18">
        <f>SUM($AC$5:AC15)</f>
        <v>3.5725627183232772E-2</v>
      </c>
      <c r="AE15" s="95" t="str">
        <f t="array" ref="AE15">IF(SamplingData[[#This Row],[up/U Selection Probability]] = 0, "Zero", TEXT(SamplingData[[#This Row],[Lower Range]], REPT("0",LEN('General Info'!$B$42))) &amp; " - " &amp; TEXT(SamplingData[[#This Row],[Upper Range]], REPT("0",LEN('General Info'!$B$42))))</f>
        <v>033 - 035</v>
      </c>
      <c r="AF15" s="95">
        <f>SamplingData[[#This Row],[Upper Range]]-SamplingData[[#This Row],[Span]]</f>
        <v>32.550015878056527</v>
      </c>
      <c r="AG15" s="95">
        <f>IF(ISNUMBER('General Info'!$B$42), ((SamplingData[[#This Row],[up/U Selection Probability]]) * 'General Info'!$B$44) - 1, 0)</f>
        <v>2.175611305176246</v>
      </c>
      <c r="AH15" s="95">
        <f>IF(ISNUMBER('General Info'!$B$42), (SamplingData[[#This Row],[Running (cumulative) sum]] * ('General Info'!$B$42 -'General Info'!$B$43 + 1)) + 'General Info'!$B$43 - 1, 0)</f>
        <v>34.725627183232774</v>
      </c>
      <c r="AI15" s="95" t="str">
        <f>IF(ISERROR(MATCH(SamplingData[[#This Row],[Batch by Type (p)]],SelectedPrecincts[Batch Name], 0)), "", INDEX(SelectedPrecincts[Draw], MATCH(SamplingData[[#This Row],[Batch by Type (p)]],SelectedPrecincts[Batch Name], 0)))</f>
        <v/>
      </c>
      <c r="AJ15" s="96">
        <f>IF(COUNTIF(SelectedPrecincts[Batch Name],SamplingData[[#This Row],[Batch by Type (p)]]) &lt;&gt; 0, COUNTIF(SelectedPrecincts[Batch Name],SamplingData[[#This Row],[Batch by Type (p)]]), 0)</f>
        <v>0</v>
      </c>
    </row>
    <row r="16" spans="1:36" ht="15" customHeight="1" x14ac:dyDescent="0.35">
      <c r="A16" s="98" t="s">
        <v>227</v>
      </c>
      <c r="B16" s="98">
        <v>9</v>
      </c>
      <c r="C16" s="98">
        <v>5</v>
      </c>
      <c r="D16" s="93"/>
      <c r="E16" s="93"/>
      <c r="F16" s="93"/>
      <c r="G16" s="97"/>
      <c r="H16" s="97"/>
      <c r="I16" s="93"/>
      <c r="J16" s="93"/>
      <c r="K16" s="93"/>
      <c r="L16" s="93"/>
      <c r="M16" s="93"/>
      <c r="N16" s="98">
        <v>0</v>
      </c>
      <c r="O16" s="98">
        <v>0</v>
      </c>
      <c r="P16" s="94">
        <f>SUM(SamplingData[[#This Row],[Winning Candidate]:[Under Votes]])</f>
        <v>14</v>
      </c>
      <c r="Q16" s="95">
        <f>IF(AND(SamplingData[[#This Row],[Total]]&lt;&gt; 0, NOT(ISBLANK(SamplingData[[#This Row],[Losing Candidate]]))),(SamplingData[[#This Row],[Total]]+SamplingData[[#This Row],[Winning Candidate]]-SamplingData[[#This Row],[Losing Candidate]])/(SamplingData[[#Totals],[Winning Candidate]]-SamplingData[[#Totals],[Losing Candidate]]), 0)</f>
        <v>3.8054968287526428E-2</v>
      </c>
      <c r="R16" s="95">
        <f>IF(AND(SamplingData[[#This Row],[Total]]&lt;&gt; 0, NOT(ISBLANK(SamplingData[[#This Row],[Candidate 3]]))),(SamplingData[[#This Row],[Total]]+SamplingData[[#This Row],[Winning Candidate]]-SamplingData[[#This Row],[Candidate 3]])/(SamplingData[[#Totals],[Winning Candidate]]-SamplingData[[#Totals],[Candidate 3]]), 0)</f>
        <v>0</v>
      </c>
      <c r="S16" s="95">
        <f>IF(AND(SamplingData[[#This Row],[Total]]&lt;&gt; 0, NOT(ISBLANK(SamplingData[[#This Row],[Candidate 4]]))),(SamplingData[[#This Row],[Total]]+SamplingData[[#This Row],[Winning Candidate]]-SamplingData[[#This Row],[Candidate 4]])/(SamplingData[[#Totals],[Winning Candidate]]-SamplingData[[#Totals],[Candidate 4]]), 0)</f>
        <v>0</v>
      </c>
      <c r="T16" s="95">
        <f>IF(AND(SamplingData[[#This Row],[Total]]&lt;&gt; 0, NOT(ISBLANK(SamplingData[[#This Row],[Candidate 5]]))),(SamplingData[[#This Row],[Total]]+SamplingData[[#This Row],[Winning Candidate]]-SamplingData[[#This Row],[Candidate 5]])/(SamplingData[[#Totals],[Winning Candidate]]-SamplingData[[#Totals],[Candidate 5]]), 0)</f>
        <v>0</v>
      </c>
      <c r="U16" s="95">
        <f>IF(AND(SamplingData[[#This Row],[Total]]&lt;&gt; 0, NOT(ISBLANK(SamplingData[[#This Row],[Candidate 6]]))),(SamplingData[[#This Row],[Total]]+SamplingData[[#This Row],[Losing Candidate]]-SamplingData[[#This Row],[Candidate 6]])/(SamplingData[[#Totals],[Winning Candidate]]-SamplingData[[#Totals],[Candidate 6]]), 0)</f>
        <v>0</v>
      </c>
      <c r="V16" s="95">
        <f>IF(AND(SamplingData[[#This Row],[Total]]&lt;&gt; 0, NOT(ISBLANK(SamplingData[[#This Row],[Candidate 7]]))),(SamplingData[[#This Row],[Total]]+SamplingData[[#This Row],[Winning Candidate]]-SamplingData[[#This Row],[Candidate 7]])/(SamplingData[[#Totals],[Winning Candidate]]-SamplingData[[#Totals],[Candidate 7]]), 0)</f>
        <v>0</v>
      </c>
      <c r="W16" s="95">
        <f>IF(AND(SamplingData[[#This Row],[Total]]&lt;&gt; 0, NOT(ISBLANK(SamplingData[[#This Row],[Candidate 8]]))),(SamplingData[[#This Row],[Total]]+SamplingData[[#This Row],[Winning Candidate]]-SamplingData[[#This Row],[Candidate 8]])/(SamplingData[[#Totals],[Winning Candidate]]-SamplingData[[#Totals],[Candidate 8]]), 0)</f>
        <v>0</v>
      </c>
      <c r="X16"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6"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6"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6"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6" s="95">
        <f>MAX(SamplingData[[#This Row],[Error Bound (up) - Max. possible relative overstatement - Losing Candidate]:[Error Bound (up) - Max. possible relative overstatement - Candidate 12]])</f>
        <v>3.8054968287526428E-2</v>
      </c>
      <c r="AC16" s="95">
        <f>IF(SamplingData[[#This Row],[Max Error Bound (up)]] = 0,0,SamplingData[[#This Row],[Max Error Bound (up)]]/SamplingData[[#Totals],[Max Error Bound (up)]])</f>
        <v>2.8580501746586213E-3</v>
      </c>
      <c r="AD16" s="18">
        <f>SUM($AC$5:AC16)</f>
        <v>3.8583677357891394E-2</v>
      </c>
      <c r="AE16" s="95" t="str">
        <f t="array" ref="AE16">IF(SamplingData[[#This Row],[up/U Selection Probability]] = 0, "Zero", TEXT(SamplingData[[#This Row],[Lower Range]], REPT("0",LEN('General Info'!$B$42))) &amp; " - " &amp; TEXT(SamplingData[[#This Row],[Upper Range]], REPT("0",LEN('General Info'!$B$42))))</f>
        <v>036 - 038</v>
      </c>
      <c r="AF16" s="95">
        <f>SamplingData[[#This Row],[Upper Range]]-SamplingData[[#This Row],[Span]]</f>
        <v>35.725627183232774</v>
      </c>
      <c r="AG16" s="95">
        <f>IF(ISNUMBER('General Info'!$B$42), ((SamplingData[[#This Row],[up/U Selection Probability]]) * 'General Info'!$B$44) - 1, 0)</f>
        <v>1.8580501746586213</v>
      </c>
      <c r="AH16" s="95">
        <f>IF(ISNUMBER('General Info'!$B$42), (SamplingData[[#This Row],[Running (cumulative) sum]] * ('General Info'!$B$42 -'General Info'!$B$43 + 1)) + 'General Info'!$B$43 - 1, 0)</f>
        <v>37.583677357891396</v>
      </c>
      <c r="AI16" s="95" t="str">
        <f>IF(ISERROR(MATCH(SamplingData[[#This Row],[Batch by Type (p)]],SelectedPrecincts[Batch Name], 0)), "", INDEX(SelectedPrecincts[Draw], MATCH(SamplingData[[#This Row],[Batch by Type (p)]],SelectedPrecincts[Batch Name], 0)))</f>
        <v/>
      </c>
      <c r="AJ16" s="96">
        <f>IF(COUNTIF(SelectedPrecincts[Batch Name],SamplingData[[#This Row],[Batch by Type (p)]]) &lt;&gt; 0, COUNTIF(SelectedPrecincts[Batch Name],SamplingData[[#This Row],[Batch by Type (p)]]), 0)</f>
        <v>0</v>
      </c>
    </row>
    <row r="17" spans="1:36" ht="15" customHeight="1" x14ac:dyDescent="0.35">
      <c r="A17" s="98" t="s">
        <v>228</v>
      </c>
      <c r="B17" s="98">
        <v>6</v>
      </c>
      <c r="C17" s="98">
        <v>18</v>
      </c>
      <c r="D17" s="93"/>
      <c r="E17" s="93"/>
      <c r="F17" s="93"/>
      <c r="G17" s="97"/>
      <c r="H17" s="97"/>
      <c r="I17" s="93"/>
      <c r="J17" s="93"/>
      <c r="K17" s="93"/>
      <c r="L17" s="93"/>
      <c r="M17" s="93"/>
      <c r="N17" s="98">
        <v>0</v>
      </c>
      <c r="O17" s="98">
        <v>0</v>
      </c>
      <c r="P17" s="94">
        <f>SUM(SamplingData[[#This Row],[Winning Candidate]:[Under Votes]])</f>
        <v>24</v>
      </c>
      <c r="Q17" s="95">
        <f>IF(AND(SamplingData[[#This Row],[Total]]&lt;&gt; 0, NOT(ISBLANK(SamplingData[[#This Row],[Losing Candidate]]))),(SamplingData[[#This Row],[Total]]+SamplingData[[#This Row],[Winning Candidate]]-SamplingData[[#This Row],[Losing Candidate]])/(SamplingData[[#Totals],[Winning Candidate]]-SamplingData[[#Totals],[Losing Candidate]]), 0)</f>
        <v>2.5369978858350951E-2</v>
      </c>
      <c r="R17" s="95">
        <f>IF(AND(SamplingData[[#This Row],[Total]]&lt;&gt; 0, NOT(ISBLANK(SamplingData[[#This Row],[Candidate 3]]))),(SamplingData[[#This Row],[Total]]+SamplingData[[#This Row],[Winning Candidate]]-SamplingData[[#This Row],[Candidate 3]])/(SamplingData[[#Totals],[Winning Candidate]]-SamplingData[[#Totals],[Candidate 3]]), 0)</f>
        <v>0</v>
      </c>
      <c r="S17" s="95">
        <f>IF(AND(SamplingData[[#This Row],[Total]]&lt;&gt; 0, NOT(ISBLANK(SamplingData[[#This Row],[Candidate 4]]))),(SamplingData[[#This Row],[Total]]+SamplingData[[#This Row],[Winning Candidate]]-SamplingData[[#This Row],[Candidate 4]])/(SamplingData[[#Totals],[Winning Candidate]]-SamplingData[[#Totals],[Candidate 4]]), 0)</f>
        <v>0</v>
      </c>
      <c r="T17" s="95">
        <f>IF(AND(SamplingData[[#This Row],[Total]]&lt;&gt; 0, NOT(ISBLANK(SamplingData[[#This Row],[Candidate 5]]))),(SamplingData[[#This Row],[Total]]+SamplingData[[#This Row],[Winning Candidate]]-SamplingData[[#This Row],[Candidate 5]])/(SamplingData[[#Totals],[Winning Candidate]]-SamplingData[[#Totals],[Candidate 5]]), 0)</f>
        <v>0</v>
      </c>
      <c r="U17" s="95">
        <f>IF(AND(SamplingData[[#This Row],[Total]]&lt;&gt; 0, NOT(ISBLANK(SamplingData[[#This Row],[Candidate 6]]))),(SamplingData[[#This Row],[Total]]+SamplingData[[#This Row],[Losing Candidate]]-SamplingData[[#This Row],[Candidate 6]])/(SamplingData[[#Totals],[Winning Candidate]]-SamplingData[[#Totals],[Candidate 6]]), 0)</f>
        <v>0</v>
      </c>
      <c r="V17" s="95">
        <f>IF(AND(SamplingData[[#This Row],[Total]]&lt;&gt; 0, NOT(ISBLANK(SamplingData[[#This Row],[Candidate 7]]))),(SamplingData[[#This Row],[Total]]+SamplingData[[#This Row],[Winning Candidate]]-SamplingData[[#This Row],[Candidate 7]])/(SamplingData[[#Totals],[Winning Candidate]]-SamplingData[[#Totals],[Candidate 7]]), 0)</f>
        <v>0</v>
      </c>
      <c r="W17" s="95">
        <f>IF(AND(SamplingData[[#This Row],[Total]]&lt;&gt; 0, NOT(ISBLANK(SamplingData[[#This Row],[Candidate 8]]))),(SamplingData[[#This Row],[Total]]+SamplingData[[#This Row],[Winning Candidate]]-SamplingData[[#This Row],[Candidate 8]])/(SamplingData[[#Totals],[Winning Candidate]]-SamplingData[[#Totals],[Candidate 8]]), 0)</f>
        <v>0</v>
      </c>
      <c r="X17"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7"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7"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7"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7" s="95">
        <f>MAX(SamplingData[[#This Row],[Error Bound (up) - Max. possible relative overstatement - Losing Candidate]:[Error Bound (up) - Max. possible relative overstatement - Candidate 12]])</f>
        <v>2.5369978858350951E-2</v>
      </c>
      <c r="AC17" s="95">
        <f>IF(SamplingData[[#This Row],[Max Error Bound (up)]] = 0,0,SamplingData[[#This Row],[Max Error Bound (up)]]/SamplingData[[#Totals],[Max Error Bound (up)]])</f>
        <v>1.9053667831057475E-3</v>
      </c>
      <c r="AD17" s="18">
        <f>SUM($AC$5:AC17)</f>
        <v>4.0489044140997139E-2</v>
      </c>
      <c r="AE17" s="95" t="str">
        <f t="array" ref="AE17">IF(SamplingData[[#This Row],[up/U Selection Probability]] = 0, "Zero", TEXT(SamplingData[[#This Row],[Lower Range]], REPT("0",LEN('General Info'!$B$42))) &amp; " - " &amp; TEXT(SamplingData[[#This Row],[Upper Range]], REPT("0",LEN('General Info'!$B$42))))</f>
        <v>039 - 039</v>
      </c>
      <c r="AF17" s="95">
        <f>SamplingData[[#This Row],[Upper Range]]-SamplingData[[#This Row],[Span]]</f>
        <v>38.583677357891389</v>
      </c>
      <c r="AG17" s="95">
        <f>IF(ISNUMBER('General Info'!$B$42), ((SamplingData[[#This Row],[up/U Selection Probability]]) * 'General Info'!$B$44) - 1, 0)</f>
        <v>0.90536678310574747</v>
      </c>
      <c r="AH17" s="95">
        <f>IF(ISNUMBER('General Info'!$B$42), (SamplingData[[#This Row],[Running (cumulative) sum]] * ('General Info'!$B$42 -'General Info'!$B$43 + 1)) + 'General Info'!$B$43 - 1, 0)</f>
        <v>39.489044140997137</v>
      </c>
      <c r="AI17" s="95" t="str">
        <f>IF(ISERROR(MATCH(SamplingData[[#This Row],[Batch by Type (p)]],SelectedPrecincts[Batch Name], 0)), "", INDEX(SelectedPrecincts[Draw], MATCH(SamplingData[[#This Row],[Batch by Type (p)]],SelectedPrecincts[Batch Name], 0)))</f>
        <v/>
      </c>
      <c r="AJ17" s="96">
        <f>IF(COUNTIF(SelectedPrecincts[Batch Name],SamplingData[[#This Row],[Batch by Type (p)]]) &lt;&gt; 0, COUNTIF(SelectedPrecincts[Batch Name],SamplingData[[#This Row],[Batch by Type (p)]]), 0)</f>
        <v>0</v>
      </c>
    </row>
    <row r="18" spans="1:36" ht="15" customHeight="1" x14ac:dyDescent="0.35">
      <c r="A18" s="98" t="s">
        <v>229</v>
      </c>
      <c r="B18" s="98">
        <v>7</v>
      </c>
      <c r="C18" s="98">
        <v>14</v>
      </c>
      <c r="D18" s="93"/>
      <c r="E18" s="93"/>
      <c r="F18" s="93"/>
      <c r="G18" s="97"/>
      <c r="H18" s="97"/>
      <c r="I18" s="93"/>
      <c r="J18" s="93"/>
      <c r="K18" s="93"/>
      <c r="L18" s="93"/>
      <c r="M18" s="93"/>
      <c r="N18" s="98">
        <v>0</v>
      </c>
      <c r="O18" s="98">
        <v>0</v>
      </c>
      <c r="P18" s="94">
        <f>SUM(SamplingData[[#This Row],[Winning Candidate]:[Under Votes]])</f>
        <v>21</v>
      </c>
      <c r="Q18" s="95">
        <f>IF(AND(SamplingData[[#This Row],[Total]]&lt;&gt; 0, NOT(ISBLANK(SamplingData[[#This Row],[Losing Candidate]]))),(SamplingData[[#This Row],[Total]]+SamplingData[[#This Row],[Winning Candidate]]-SamplingData[[#This Row],[Losing Candidate]])/(SamplingData[[#Totals],[Winning Candidate]]-SamplingData[[#Totals],[Losing Candidate]]), 0)</f>
        <v>2.9598308668076109E-2</v>
      </c>
      <c r="R18" s="95">
        <f>IF(AND(SamplingData[[#This Row],[Total]]&lt;&gt; 0, NOT(ISBLANK(SamplingData[[#This Row],[Candidate 3]]))),(SamplingData[[#This Row],[Total]]+SamplingData[[#This Row],[Winning Candidate]]-SamplingData[[#This Row],[Candidate 3]])/(SamplingData[[#Totals],[Winning Candidate]]-SamplingData[[#Totals],[Candidate 3]]), 0)</f>
        <v>0</v>
      </c>
      <c r="S18" s="95">
        <f>IF(AND(SamplingData[[#This Row],[Total]]&lt;&gt; 0, NOT(ISBLANK(SamplingData[[#This Row],[Candidate 4]]))),(SamplingData[[#This Row],[Total]]+SamplingData[[#This Row],[Winning Candidate]]-SamplingData[[#This Row],[Candidate 4]])/(SamplingData[[#Totals],[Winning Candidate]]-SamplingData[[#Totals],[Candidate 4]]), 0)</f>
        <v>0</v>
      </c>
      <c r="T18" s="95">
        <f>IF(AND(SamplingData[[#This Row],[Total]]&lt;&gt; 0, NOT(ISBLANK(SamplingData[[#This Row],[Candidate 5]]))),(SamplingData[[#This Row],[Total]]+SamplingData[[#This Row],[Winning Candidate]]-SamplingData[[#This Row],[Candidate 5]])/(SamplingData[[#Totals],[Winning Candidate]]-SamplingData[[#Totals],[Candidate 5]]), 0)</f>
        <v>0</v>
      </c>
      <c r="U18" s="95">
        <f>IF(AND(SamplingData[[#This Row],[Total]]&lt;&gt; 0, NOT(ISBLANK(SamplingData[[#This Row],[Candidate 6]]))),(SamplingData[[#This Row],[Total]]+SamplingData[[#This Row],[Losing Candidate]]-SamplingData[[#This Row],[Candidate 6]])/(SamplingData[[#Totals],[Winning Candidate]]-SamplingData[[#Totals],[Candidate 6]]), 0)</f>
        <v>0</v>
      </c>
      <c r="V18" s="95">
        <f>IF(AND(SamplingData[[#This Row],[Total]]&lt;&gt; 0, NOT(ISBLANK(SamplingData[[#This Row],[Candidate 7]]))),(SamplingData[[#This Row],[Total]]+SamplingData[[#This Row],[Winning Candidate]]-SamplingData[[#This Row],[Candidate 7]])/(SamplingData[[#Totals],[Winning Candidate]]-SamplingData[[#Totals],[Candidate 7]]), 0)</f>
        <v>0</v>
      </c>
      <c r="W18" s="95">
        <f>IF(AND(SamplingData[[#This Row],[Total]]&lt;&gt; 0, NOT(ISBLANK(SamplingData[[#This Row],[Candidate 8]]))),(SamplingData[[#This Row],[Total]]+SamplingData[[#This Row],[Winning Candidate]]-SamplingData[[#This Row],[Candidate 8]])/(SamplingData[[#Totals],[Winning Candidate]]-SamplingData[[#Totals],[Candidate 8]]), 0)</f>
        <v>0</v>
      </c>
      <c r="X18"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8"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8"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8"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8" s="95">
        <f>MAX(SamplingData[[#This Row],[Error Bound (up) - Max. possible relative overstatement - Losing Candidate]:[Error Bound (up) - Max. possible relative overstatement - Candidate 12]])</f>
        <v>2.9598308668076109E-2</v>
      </c>
      <c r="AC18" s="95">
        <f>IF(SamplingData[[#This Row],[Max Error Bound (up)]] = 0,0,SamplingData[[#This Row],[Max Error Bound (up)]]/SamplingData[[#Totals],[Max Error Bound (up)]])</f>
        <v>2.2229279136233722E-3</v>
      </c>
      <c r="AD18" s="18">
        <f>SUM($AC$5:AC18)</f>
        <v>4.271197205462051E-2</v>
      </c>
      <c r="AE18" s="95" t="str">
        <f t="array" ref="AE18">IF(SamplingData[[#This Row],[up/U Selection Probability]] = 0, "Zero", TEXT(SamplingData[[#This Row],[Lower Range]], REPT("0",LEN('General Info'!$B$42))) &amp; " - " &amp; TEXT(SamplingData[[#This Row],[Upper Range]], REPT("0",LEN('General Info'!$B$42))))</f>
        <v>040 - 042</v>
      </c>
      <c r="AF18" s="95">
        <f>SamplingData[[#This Row],[Upper Range]]-SamplingData[[#This Row],[Span]]</f>
        <v>40.489044140997137</v>
      </c>
      <c r="AG18" s="95">
        <f>IF(ISNUMBER('General Info'!$B$42), ((SamplingData[[#This Row],[up/U Selection Probability]]) * 'General Info'!$B$44) - 1, 0)</f>
        <v>1.2229279136233724</v>
      </c>
      <c r="AH18" s="95">
        <f>IF(ISNUMBER('General Info'!$B$42), (SamplingData[[#This Row],[Running (cumulative) sum]] * ('General Info'!$B$42 -'General Info'!$B$43 + 1)) + 'General Info'!$B$43 - 1, 0)</f>
        <v>41.71197205462051</v>
      </c>
      <c r="AI18" s="95" t="str">
        <f>IF(ISERROR(MATCH(SamplingData[[#This Row],[Batch by Type (p)]],SelectedPrecincts[Batch Name], 0)), "", INDEX(SelectedPrecincts[Draw], MATCH(SamplingData[[#This Row],[Batch by Type (p)]],SelectedPrecincts[Batch Name], 0)))</f>
        <v/>
      </c>
      <c r="AJ18" s="96">
        <f>IF(COUNTIF(SelectedPrecincts[Batch Name],SamplingData[[#This Row],[Batch by Type (p)]]) &lt;&gt; 0, COUNTIF(SelectedPrecincts[Batch Name],SamplingData[[#This Row],[Batch by Type (p)]]), 0)</f>
        <v>0</v>
      </c>
    </row>
    <row r="19" spans="1:36" ht="15" customHeight="1" x14ac:dyDescent="0.35">
      <c r="A19" s="98" t="s">
        <v>230</v>
      </c>
      <c r="B19" s="98">
        <v>7</v>
      </c>
      <c r="C19" s="98">
        <v>3</v>
      </c>
      <c r="D19" s="93"/>
      <c r="E19" s="93"/>
      <c r="F19" s="93"/>
      <c r="G19" s="97"/>
      <c r="H19" s="97"/>
      <c r="I19" s="93"/>
      <c r="J19" s="93"/>
      <c r="K19" s="93"/>
      <c r="L19" s="93"/>
      <c r="M19" s="93"/>
      <c r="N19" s="98">
        <v>0</v>
      </c>
      <c r="O19" s="98">
        <v>0</v>
      </c>
      <c r="P19" s="94">
        <f>SUM(SamplingData[[#This Row],[Winning Candidate]:[Under Votes]])</f>
        <v>10</v>
      </c>
      <c r="Q19" s="95">
        <f>IF(AND(SamplingData[[#This Row],[Total]]&lt;&gt; 0, NOT(ISBLANK(SamplingData[[#This Row],[Losing Candidate]]))),(SamplingData[[#This Row],[Total]]+SamplingData[[#This Row],[Winning Candidate]]-SamplingData[[#This Row],[Losing Candidate]])/(SamplingData[[#Totals],[Winning Candidate]]-SamplingData[[#Totals],[Losing Candidate]]), 0)</f>
        <v>2.9598308668076109E-2</v>
      </c>
      <c r="R19" s="95">
        <f>IF(AND(SamplingData[[#This Row],[Total]]&lt;&gt; 0, NOT(ISBLANK(SamplingData[[#This Row],[Candidate 3]]))),(SamplingData[[#This Row],[Total]]+SamplingData[[#This Row],[Winning Candidate]]-SamplingData[[#This Row],[Candidate 3]])/(SamplingData[[#Totals],[Winning Candidate]]-SamplingData[[#Totals],[Candidate 3]]), 0)</f>
        <v>0</v>
      </c>
      <c r="S19" s="95">
        <f>IF(AND(SamplingData[[#This Row],[Total]]&lt;&gt; 0, NOT(ISBLANK(SamplingData[[#This Row],[Candidate 4]]))),(SamplingData[[#This Row],[Total]]+SamplingData[[#This Row],[Winning Candidate]]-SamplingData[[#This Row],[Candidate 4]])/(SamplingData[[#Totals],[Winning Candidate]]-SamplingData[[#Totals],[Candidate 4]]), 0)</f>
        <v>0</v>
      </c>
      <c r="T19" s="95">
        <f>IF(AND(SamplingData[[#This Row],[Total]]&lt;&gt; 0, NOT(ISBLANK(SamplingData[[#This Row],[Candidate 5]]))),(SamplingData[[#This Row],[Total]]+SamplingData[[#This Row],[Winning Candidate]]-SamplingData[[#This Row],[Candidate 5]])/(SamplingData[[#Totals],[Winning Candidate]]-SamplingData[[#Totals],[Candidate 5]]), 0)</f>
        <v>0</v>
      </c>
      <c r="U19" s="95">
        <f>IF(AND(SamplingData[[#This Row],[Total]]&lt;&gt; 0, NOT(ISBLANK(SamplingData[[#This Row],[Candidate 6]]))),(SamplingData[[#This Row],[Total]]+SamplingData[[#This Row],[Losing Candidate]]-SamplingData[[#This Row],[Candidate 6]])/(SamplingData[[#Totals],[Winning Candidate]]-SamplingData[[#Totals],[Candidate 6]]), 0)</f>
        <v>0</v>
      </c>
      <c r="V19" s="95">
        <f>IF(AND(SamplingData[[#This Row],[Total]]&lt;&gt; 0, NOT(ISBLANK(SamplingData[[#This Row],[Candidate 7]]))),(SamplingData[[#This Row],[Total]]+SamplingData[[#This Row],[Winning Candidate]]-SamplingData[[#This Row],[Candidate 7]])/(SamplingData[[#Totals],[Winning Candidate]]-SamplingData[[#Totals],[Candidate 7]]), 0)</f>
        <v>0</v>
      </c>
      <c r="W19" s="95">
        <f>IF(AND(SamplingData[[#This Row],[Total]]&lt;&gt; 0, NOT(ISBLANK(SamplingData[[#This Row],[Candidate 8]]))),(SamplingData[[#This Row],[Total]]+SamplingData[[#This Row],[Winning Candidate]]-SamplingData[[#This Row],[Candidate 8]])/(SamplingData[[#Totals],[Winning Candidate]]-SamplingData[[#Totals],[Candidate 8]]), 0)</f>
        <v>0</v>
      </c>
      <c r="X19"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19"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19"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19"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19" s="95">
        <f>MAX(SamplingData[[#This Row],[Error Bound (up) - Max. possible relative overstatement - Losing Candidate]:[Error Bound (up) - Max. possible relative overstatement - Candidate 12]])</f>
        <v>2.9598308668076109E-2</v>
      </c>
      <c r="AC19" s="95">
        <f>IF(SamplingData[[#This Row],[Max Error Bound (up)]] = 0,0,SamplingData[[#This Row],[Max Error Bound (up)]]/SamplingData[[#Totals],[Max Error Bound (up)]])</f>
        <v>2.2229279136233722E-3</v>
      </c>
      <c r="AD19" s="18">
        <f>SUM($AC$5:AC19)</f>
        <v>4.4934899968243881E-2</v>
      </c>
      <c r="AE19" s="95" t="str">
        <f t="array" ref="AE19">IF(SamplingData[[#This Row],[up/U Selection Probability]] = 0, "Zero", TEXT(SamplingData[[#This Row],[Lower Range]], REPT("0",LEN('General Info'!$B$42))) &amp; " - " &amp; TEXT(SamplingData[[#This Row],[Upper Range]], REPT("0",LEN('General Info'!$B$42))))</f>
        <v>043 - 044</v>
      </c>
      <c r="AF19" s="95">
        <f>SamplingData[[#This Row],[Upper Range]]-SamplingData[[#This Row],[Span]]</f>
        <v>42.71197205462051</v>
      </c>
      <c r="AG19" s="95">
        <f>IF(ISNUMBER('General Info'!$B$42), ((SamplingData[[#This Row],[up/U Selection Probability]]) * 'General Info'!$B$44) - 1, 0)</f>
        <v>1.2229279136233724</v>
      </c>
      <c r="AH19" s="95">
        <f>IF(ISNUMBER('General Info'!$B$42), (SamplingData[[#This Row],[Running (cumulative) sum]] * ('General Info'!$B$42 -'General Info'!$B$43 + 1)) + 'General Info'!$B$43 - 1, 0)</f>
        <v>43.934899968243883</v>
      </c>
      <c r="AI19" s="95" t="str">
        <f>IF(ISERROR(MATCH(SamplingData[[#This Row],[Batch by Type (p)]],SelectedPrecincts[Batch Name], 0)), "", INDEX(SelectedPrecincts[Draw], MATCH(SamplingData[[#This Row],[Batch by Type (p)]],SelectedPrecincts[Batch Name], 0)))</f>
        <v/>
      </c>
      <c r="AJ19" s="96">
        <f>IF(COUNTIF(SelectedPrecincts[Batch Name],SamplingData[[#This Row],[Batch by Type (p)]]) &lt;&gt; 0, COUNTIF(SelectedPrecincts[Batch Name],SamplingData[[#This Row],[Batch by Type (p)]]), 0)</f>
        <v>0</v>
      </c>
    </row>
    <row r="20" spans="1:36" ht="15" customHeight="1" x14ac:dyDescent="0.35">
      <c r="A20" s="98" t="s">
        <v>231</v>
      </c>
      <c r="B20" s="98">
        <v>9</v>
      </c>
      <c r="C20" s="98">
        <v>3</v>
      </c>
      <c r="D20" s="93"/>
      <c r="E20" s="93"/>
      <c r="F20" s="93"/>
      <c r="G20" s="97"/>
      <c r="H20" s="97"/>
      <c r="I20" s="93"/>
      <c r="J20" s="93"/>
      <c r="K20" s="93"/>
      <c r="L20" s="93"/>
      <c r="M20" s="93"/>
      <c r="N20" s="98">
        <v>0</v>
      </c>
      <c r="O20" s="98">
        <v>0</v>
      </c>
      <c r="P20" s="94">
        <f>SUM(SamplingData[[#This Row],[Winning Candidate]:[Under Votes]])</f>
        <v>12</v>
      </c>
      <c r="Q20" s="95">
        <f>IF(AND(SamplingData[[#This Row],[Total]]&lt;&gt; 0, NOT(ISBLANK(SamplingData[[#This Row],[Losing Candidate]]))),(SamplingData[[#This Row],[Total]]+SamplingData[[#This Row],[Winning Candidate]]-SamplingData[[#This Row],[Losing Candidate]])/(SamplingData[[#Totals],[Winning Candidate]]-SamplingData[[#Totals],[Losing Candidate]]), 0)</f>
        <v>3.8054968287526428E-2</v>
      </c>
      <c r="R20" s="95">
        <f>IF(AND(SamplingData[[#This Row],[Total]]&lt;&gt; 0, NOT(ISBLANK(SamplingData[[#This Row],[Candidate 3]]))),(SamplingData[[#This Row],[Total]]+SamplingData[[#This Row],[Winning Candidate]]-SamplingData[[#This Row],[Candidate 3]])/(SamplingData[[#Totals],[Winning Candidate]]-SamplingData[[#Totals],[Candidate 3]]), 0)</f>
        <v>0</v>
      </c>
      <c r="S20" s="95">
        <f>IF(AND(SamplingData[[#This Row],[Total]]&lt;&gt; 0, NOT(ISBLANK(SamplingData[[#This Row],[Candidate 4]]))),(SamplingData[[#This Row],[Total]]+SamplingData[[#This Row],[Winning Candidate]]-SamplingData[[#This Row],[Candidate 4]])/(SamplingData[[#Totals],[Winning Candidate]]-SamplingData[[#Totals],[Candidate 4]]), 0)</f>
        <v>0</v>
      </c>
      <c r="T20" s="95">
        <f>IF(AND(SamplingData[[#This Row],[Total]]&lt;&gt; 0, NOT(ISBLANK(SamplingData[[#This Row],[Candidate 5]]))),(SamplingData[[#This Row],[Total]]+SamplingData[[#This Row],[Winning Candidate]]-SamplingData[[#This Row],[Candidate 5]])/(SamplingData[[#Totals],[Winning Candidate]]-SamplingData[[#Totals],[Candidate 5]]), 0)</f>
        <v>0</v>
      </c>
      <c r="U20" s="95">
        <f>IF(AND(SamplingData[[#This Row],[Total]]&lt;&gt; 0, NOT(ISBLANK(SamplingData[[#This Row],[Candidate 6]]))),(SamplingData[[#This Row],[Total]]+SamplingData[[#This Row],[Losing Candidate]]-SamplingData[[#This Row],[Candidate 6]])/(SamplingData[[#Totals],[Winning Candidate]]-SamplingData[[#Totals],[Candidate 6]]), 0)</f>
        <v>0</v>
      </c>
      <c r="V20" s="95">
        <f>IF(AND(SamplingData[[#This Row],[Total]]&lt;&gt; 0, NOT(ISBLANK(SamplingData[[#This Row],[Candidate 7]]))),(SamplingData[[#This Row],[Total]]+SamplingData[[#This Row],[Winning Candidate]]-SamplingData[[#This Row],[Candidate 7]])/(SamplingData[[#Totals],[Winning Candidate]]-SamplingData[[#Totals],[Candidate 7]]), 0)</f>
        <v>0</v>
      </c>
      <c r="W20" s="95">
        <f>IF(AND(SamplingData[[#This Row],[Total]]&lt;&gt; 0, NOT(ISBLANK(SamplingData[[#This Row],[Candidate 8]]))),(SamplingData[[#This Row],[Total]]+SamplingData[[#This Row],[Winning Candidate]]-SamplingData[[#This Row],[Candidate 8]])/(SamplingData[[#Totals],[Winning Candidate]]-SamplingData[[#Totals],[Candidate 8]]), 0)</f>
        <v>0</v>
      </c>
      <c r="X20"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0"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0"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0"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0" s="95">
        <f>MAX(SamplingData[[#This Row],[Error Bound (up) - Max. possible relative overstatement - Losing Candidate]:[Error Bound (up) - Max. possible relative overstatement - Candidate 12]])</f>
        <v>3.8054968287526428E-2</v>
      </c>
      <c r="AC20" s="95">
        <f>IF(SamplingData[[#This Row],[Max Error Bound (up)]] = 0,0,SamplingData[[#This Row],[Max Error Bound (up)]]/SamplingData[[#Totals],[Max Error Bound (up)]])</f>
        <v>2.8580501746586213E-3</v>
      </c>
      <c r="AD20" s="18">
        <f>SUM($AC$5:AC20)</f>
        <v>4.7792950142902503E-2</v>
      </c>
      <c r="AE20" s="95" t="str">
        <f t="array" ref="AE20">IF(SamplingData[[#This Row],[up/U Selection Probability]] = 0, "Zero", TEXT(SamplingData[[#This Row],[Lower Range]], REPT("0",LEN('General Info'!$B$42))) &amp; " - " &amp; TEXT(SamplingData[[#This Row],[Upper Range]], REPT("0",LEN('General Info'!$B$42))))</f>
        <v>045 - 047</v>
      </c>
      <c r="AF20" s="95">
        <f>SamplingData[[#This Row],[Upper Range]]-SamplingData[[#This Row],[Span]]</f>
        <v>44.934899968243883</v>
      </c>
      <c r="AG20" s="95">
        <f>IF(ISNUMBER('General Info'!$B$42), ((SamplingData[[#This Row],[up/U Selection Probability]]) * 'General Info'!$B$44) - 1, 0)</f>
        <v>1.8580501746586213</v>
      </c>
      <c r="AH20" s="95">
        <f>IF(ISNUMBER('General Info'!$B$42), (SamplingData[[#This Row],[Running (cumulative) sum]] * ('General Info'!$B$42 -'General Info'!$B$43 + 1)) + 'General Info'!$B$43 - 1, 0)</f>
        <v>46.792950142902505</v>
      </c>
      <c r="AI20" s="95" t="str">
        <f>IF(ISERROR(MATCH(SamplingData[[#This Row],[Batch by Type (p)]],SelectedPrecincts[Batch Name], 0)), "", INDEX(SelectedPrecincts[Draw], MATCH(SamplingData[[#This Row],[Batch by Type (p)]],SelectedPrecincts[Batch Name], 0)))</f>
        <v/>
      </c>
      <c r="AJ20" s="96">
        <f>IF(COUNTIF(SelectedPrecincts[Batch Name],SamplingData[[#This Row],[Batch by Type (p)]]) &lt;&gt; 0, COUNTIF(SelectedPrecincts[Batch Name],SamplingData[[#This Row],[Batch by Type (p)]]), 0)</f>
        <v>0</v>
      </c>
    </row>
    <row r="21" spans="1:36" ht="15" customHeight="1" x14ac:dyDescent="0.35">
      <c r="A21" s="98" t="s">
        <v>232</v>
      </c>
      <c r="B21" s="98">
        <v>27</v>
      </c>
      <c r="C21" s="98">
        <v>20</v>
      </c>
      <c r="D21" s="93"/>
      <c r="E21" s="93"/>
      <c r="F21" s="93"/>
      <c r="G21" s="97"/>
      <c r="H21" s="97"/>
      <c r="I21" s="93"/>
      <c r="J21" s="93"/>
      <c r="K21" s="93"/>
      <c r="L21" s="93"/>
      <c r="M21" s="93"/>
      <c r="N21" s="98">
        <v>0</v>
      </c>
      <c r="O21" s="98">
        <v>0</v>
      </c>
      <c r="P21" s="94">
        <f>SUM(SamplingData[[#This Row],[Winning Candidate]:[Under Votes]])</f>
        <v>47</v>
      </c>
      <c r="Q21" s="95">
        <f>IF(AND(SamplingData[[#This Row],[Total]]&lt;&gt; 0, NOT(ISBLANK(SamplingData[[#This Row],[Losing Candidate]]))),(SamplingData[[#This Row],[Total]]+SamplingData[[#This Row],[Winning Candidate]]-SamplingData[[#This Row],[Losing Candidate]])/(SamplingData[[#Totals],[Winning Candidate]]-SamplingData[[#Totals],[Losing Candidate]]), 0)</f>
        <v>0.11416490486257928</v>
      </c>
      <c r="R21" s="95">
        <f>IF(AND(SamplingData[[#This Row],[Total]]&lt;&gt; 0, NOT(ISBLANK(SamplingData[[#This Row],[Candidate 3]]))),(SamplingData[[#This Row],[Total]]+SamplingData[[#This Row],[Winning Candidate]]-SamplingData[[#This Row],[Candidate 3]])/(SamplingData[[#Totals],[Winning Candidate]]-SamplingData[[#Totals],[Candidate 3]]), 0)</f>
        <v>0</v>
      </c>
      <c r="S21" s="95">
        <f>IF(AND(SamplingData[[#This Row],[Total]]&lt;&gt; 0, NOT(ISBLANK(SamplingData[[#This Row],[Candidate 4]]))),(SamplingData[[#This Row],[Total]]+SamplingData[[#This Row],[Winning Candidate]]-SamplingData[[#This Row],[Candidate 4]])/(SamplingData[[#Totals],[Winning Candidate]]-SamplingData[[#Totals],[Candidate 4]]), 0)</f>
        <v>0</v>
      </c>
      <c r="T21" s="95">
        <f>IF(AND(SamplingData[[#This Row],[Total]]&lt;&gt; 0, NOT(ISBLANK(SamplingData[[#This Row],[Candidate 5]]))),(SamplingData[[#This Row],[Total]]+SamplingData[[#This Row],[Winning Candidate]]-SamplingData[[#This Row],[Candidate 5]])/(SamplingData[[#Totals],[Winning Candidate]]-SamplingData[[#Totals],[Candidate 5]]), 0)</f>
        <v>0</v>
      </c>
      <c r="U21" s="95">
        <f>IF(AND(SamplingData[[#This Row],[Total]]&lt;&gt; 0, NOT(ISBLANK(SamplingData[[#This Row],[Candidate 6]]))),(SamplingData[[#This Row],[Total]]+SamplingData[[#This Row],[Losing Candidate]]-SamplingData[[#This Row],[Candidate 6]])/(SamplingData[[#Totals],[Winning Candidate]]-SamplingData[[#Totals],[Candidate 6]]), 0)</f>
        <v>0</v>
      </c>
      <c r="V21" s="95">
        <f>IF(AND(SamplingData[[#This Row],[Total]]&lt;&gt; 0, NOT(ISBLANK(SamplingData[[#This Row],[Candidate 7]]))),(SamplingData[[#This Row],[Total]]+SamplingData[[#This Row],[Winning Candidate]]-SamplingData[[#This Row],[Candidate 7]])/(SamplingData[[#Totals],[Winning Candidate]]-SamplingData[[#Totals],[Candidate 7]]), 0)</f>
        <v>0</v>
      </c>
      <c r="W21" s="95">
        <f>IF(AND(SamplingData[[#This Row],[Total]]&lt;&gt; 0, NOT(ISBLANK(SamplingData[[#This Row],[Candidate 8]]))),(SamplingData[[#This Row],[Total]]+SamplingData[[#This Row],[Winning Candidate]]-SamplingData[[#This Row],[Candidate 8]])/(SamplingData[[#Totals],[Winning Candidate]]-SamplingData[[#Totals],[Candidate 8]]), 0)</f>
        <v>0</v>
      </c>
      <c r="X21"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1"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1"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1"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1" s="95">
        <f>MAX(SamplingData[[#This Row],[Error Bound (up) - Max. possible relative overstatement - Losing Candidate]:[Error Bound (up) - Max. possible relative overstatement - Candidate 12]])</f>
        <v>0.11416490486257928</v>
      </c>
      <c r="AC21" s="95">
        <f>IF(SamplingData[[#This Row],[Max Error Bound (up)]] = 0,0,SamplingData[[#This Row],[Max Error Bound (up)]]/SamplingData[[#Totals],[Max Error Bound (up)]])</f>
        <v>8.5741505239758636E-3</v>
      </c>
      <c r="AD21" s="18">
        <f>SUM($AC$5:AC21)</f>
        <v>5.6367100666878368E-2</v>
      </c>
      <c r="AE21" s="95" t="str">
        <f t="array" ref="AE21">IF(SamplingData[[#This Row],[up/U Selection Probability]] = 0, "Zero", TEXT(SamplingData[[#This Row],[Lower Range]], REPT("0",LEN('General Info'!$B$42))) &amp; " - " &amp; TEXT(SamplingData[[#This Row],[Upper Range]], REPT("0",LEN('General Info'!$B$42))))</f>
        <v>048 - 055</v>
      </c>
      <c r="AF21" s="95">
        <f>SamplingData[[#This Row],[Upper Range]]-SamplingData[[#This Row],[Span]]</f>
        <v>47.792950142902512</v>
      </c>
      <c r="AG21" s="95">
        <f>IF(ISNUMBER('General Info'!$B$42), ((SamplingData[[#This Row],[up/U Selection Probability]]) * 'General Info'!$B$44) - 1, 0)</f>
        <v>7.5741505239758631</v>
      </c>
      <c r="AH21" s="95">
        <f>IF(ISNUMBER('General Info'!$B$42), (SamplingData[[#This Row],[Running (cumulative) sum]] * ('General Info'!$B$42 -'General Info'!$B$43 + 1)) + 'General Info'!$B$43 - 1, 0)</f>
        <v>55.367100666878372</v>
      </c>
      <c r="AI21" s="95">
        <f>IF(ISERROR(MATCH(SamplingData[[#This Row],[Batch by Type (p)]],SelectedPrecincts[Batch Name], 0)), "", INDEX(SelectedPrecincts[Draw], MATCH(SamplingData[[#This Row],[Batch by Type (p)]],SelectedPrecincts[Batch Name], 0)))</f>
        <v>20</v>
      </c>
      <c r="AJ21" s="96">
        <f>IF(COUNTIF(SelectedPrecincts[Batch Name],SamplingData[[#This Row],[Batch by Type (p)]]) &lt;&gt; 0, COUNTIF(SelectedPrecincts[Batch Name],SamplingData[[#This Row],[Batch by Type (p)]]), 0)</f>
        <v>2</v>
      </c>
    </row>
    <row r="22" spans="1:36" ht="15" customHeight="1" x14ac:dyDescent="0.35">
      <c r="A22" s="98" t="s">
        <v>233</v>
      </c>
      <c r="B22" s="98">
        <v>17</v>
      </c>
      <c r="C22" s="98">
        <v>17</v>
      </c>
      <c r="D22" s="93"/>
      <c r="E22" s="93"/>
      <c r="F22" s="93"/>
      <c r="G22" s="97"/>
      <c r="H22" s="97"/>
      <c r="I22" s="93"/>
      <c r="J22" s="93"/>
      <c r="K22" s="93"/>
      <c r="L22" s="93"/>
      <c r="M22" s="93"/>
      <c r="N22" s="98">
        <v>0</v>
      </c>
      <c r="O22" s="98">
        <v>0</v>
      </c>
      <c r="P22" s="94">
        <f>SUM(SamplingData[[#This Row],[Winning Candidate]:[Under Votes]])</f>
        <v>34</v>
      </c>
      <c r="Q22" s="95">
        <f>IF(AND(SamplingData[[#This Row],[Total]]&lt;&gt; 0, NOT(ISBLANK(SamplingData[[#This Row],[Losing Candidate]]))),(SamplingData[[#This Row],[Total]]+SamplingData[[#This Row],[Winning Candidate]]-SamplingData[[#This Row],[Losing Candidate]])/(SamplingData[[#Totals],[Winning Candidate]]-SamplingData[[#Totals],[Losing Candidate]]), 0)</f>
        <v>7.1881606765327691E-2</v>
      </c>
      <c r="R22" s="95">
        <f>IF(AND(SamplingData[[#This Row],[Total]]&lt;&gt; 0, NOT(ISBLANK(SamplingData[[#This Row],[Candidate 3]]))),(SamplingData[[#This Row],[Total]]+SamplingData[[#This Row],[Winning Candidate]]-SamplingData[[#This Row],[Candidate 3]])/(SamplingData[[#Totals],[Winning Candidate]]-SamplingData[[#Totals],[Candidate 3]]), 0)</f>
        <v>0</v>
      </c>
      <c r="S22" s="95">
        <f>IF(AND(SamplingData[[#This Row],[Total]]&lt;&gt; 0, NOT(ISBLANK(SamplingData[[#This Row],[Candidate 4]]))),(SamplingData[[#This Row],[Total]]+SamplingData[[#This Row],[Winning Candidate]]-SamplingData[[#This Row],[Candidate 4]])/(SamplingData[[#Totals],[Winning Candidate]]-SamplingData[[#Totals],[Candidate 4]]), 0)</f>
        <v>0</v>
      </c>
      <c r="T22" s="95">
        <f>IF(AND(SamplingData[[#This Row],[Total]]&lt;&gt; 0, NOT(ISBLANK(SamplingData[[#This Row],[Candidate 5]]))),(SamplingData[[#This Row],[Total]]+SamplingData[[#This Row],[Winning Candidate]]-SamplingData[[#This Row],[Candidate 5]])/(SamplingData[[#Totals],[Winning Candidate]]-SamplingData[[#Totals],[Candidate 5]]), 0)</f>
        <v>0</v>
      </c>
      <c r="U22" s="95">
        <f>IF(AND(SamplingData[[#This Row],[Total]]&lt;&gt; 0, NOT(ISBLANK(SamplingData[[#This Row],[Candidate 6]]))),(SamplingData[[#This Row],[Total]]+SamplingData[[#This Row],[Losing Candidate]]-SamplingData[[#This Row],[Candidate 6]])/(SamplingData[[#Totals],[Winning Candidate]]-SamplingData[[#Totals],[Candidate 6]]), 0)</f>
        <v>0</v>
      </c>
      <c r="V22" s="95">
        <f>IF(AND(SamplingData[[#This Row],[Total]]&lt;&gt; 0, NOT(ISBLANK(SamplingData[[#This Row],[Candidate 7]]))),(SamplingData[[#This Row],[Total]]+SamplingData[[#This Row],[Winning Candidate]]-SamplingData[[#This Row],[Candidate 7]])/(SamplingData[[#Totals],[Winning Candidate]]-SamplingData[[#Totals],[Candidate 7]]), 0)</f>
        <v>0</v>
      </c>
      <c r="W22" s="95">
        <f>IF(AND(SamplingData[[#This Row],[Total]]&lt;&gt; 0, NOT(ISBLANK(SamplingData[[#This Row],[Candidate 8]]))),(SamplingData[[#This Row],[Total]]+SamplingData[[#This Row],[Winning Candidate]]-SamplingData[[#This Row],[Candidate 8]])/(SamplingData[[#Totals],[Winning Candidate]]-SamplingData[[#Totals],[Candidate 8]]), 0)</f>
        <v>0</v>
      </c>
      <c r="X22"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2"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2"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2"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2" s="95">
        <f>MAX(SamplingData[[#This Row],[Error Bound (up) - Max. possible relative overstatement - Losing Candidate]:[Error Bound (up) - Max. possible relative overstatement - Candidate 12]])</f>
        <v>7.1881606765327691E-2</v>
      </c>
      <c r="AC22" s="95">
        <f>IF(SamplingData[[#This Row],[Max Error Bound (up)]] = 0,0,SamplingData[[#This Row],[Max Error Bound (up)]]/SamplingData[[#Totals],[Max Error Bound (up)]])</f>
        <v>5.3985392187996181E-3</v>
      </c>
      <c r="AD22" s="18">
        <f>SUM($AC$5:AC22)</f>
        <v>6.1765639885677986E-2</v>
      </c>
      <c r="AE22" s="95" t="str">
        <f t="array" ref="AE22">IF(SamplingData[[#This Row],[up/U Selection Probability]] = 0, "Zero", TEXT(SamplingData[[#This Row],[Lower Range]], REPT("0",LEN('General Info'!$B$42))) &amp; " - " &amp; TEXT(SamplingData[[#This Row],[Upper Range]], REPT("0",LEN('General Info'!$B$42))))</f>
        <v>056 - 061</v>
      </c>
      <c r="AF22" s="95">
        <f>SamplingData[[#This Row],[Upper Range]]-SamplingData[[#This Row],[Span]]</f>
        <v>56.367100666878365</v>
      </c>
      <c r="AG22" s="95">
        <f>IF(ISNUMBER('General Info'!$B$42), ((SamplingData[[#This Row],[up/U Selection Probability]]) * 'General Info'!$B$44) - 1, 0)</f>
        <v>4.398539218799618</v>
      </c>
      <c r="AH22" s="95">
        <f>IF(ISNUMBER('General Info'!$B$42), (SamplingData[[#This Row],[Running (cumulative) sum]] * ('General Info'!$B$42 -'General Info'!$B$43 + 1)) + 'General Info'!$B$43 - 1, 0)</f>
        <v>60.765639885677984</v>
      </c>
      <c r="AI22" s="95" t="str">
        <f>IF(ISERROR(MATCH(SamplingData[[#This Row],[Batch by Type (p)]],SelectedPrecincts[Batch Name], 0)), "", INDEX(SelectedPrecincts[Draw], MATCH(SamplingData[[#This Row],[Batch by Type (p)]],SelectedPrecincts[Batch Name], 0)))</f>
        <v/>
      </c>
      <c r="AJ22" s="96">
        <f>IF(COUNTIF(SelectedPrecincts[Batch Name],SamplingData[[#This Row],[Batch by Type (p)]]) &lt;&gt; 0, COUNTIF(SelectedPrecincts[Batch Name],SamplingData[[#This Row],[Batch by Type (p)]]), 0)</f>
        <v>0</v>
      </c>
    </row>
    <row r="23" spans="1:36" ht="15" customHeight="1" x14ac:dyDescent="0.35">
      <c r="A23" s="98" t="s">
        <v>234</v>
      </c>
      <c r="B23" s="98">
        <v>19</v>
      </c>
      <c r="C23" s="98">
        <v>9</v>
      </c>
      <c r="D23" s="93"/>
      <c r="E23" s="93"/>
      <c r="F23" s="93"/>
      <c r="G23" s="97"/>
      <c r="H23" s="97"/>
      <c r="I23" s="93"/>
      <c r="J23" s="93"/>
      <c r="K23" s="93"/>
      <c r="L23" s="93"/>
      <c r="M23" s="93"/>
      <c r="N23" s="98">
        <v>0</v>
      </c>
      <c r="O23" s="98">
        <v>0</v>
      </c>
      <c r="P23" s="94">
        <f>SUM(SamplingData[[#This Row],[Winning Candidate]:[Under Votes]])</f>
        <v>28</v>
      </c>
      <c r="Q23" s="95">
        <f>IF(AND(SamplingData[[#This Row],[Total]]&lt;&gt; 0, NOT(ISBLANK(SamplingData[[#This Row],[Losing Candidate]]))),(SamplingData[[#This Row],[Total]]+SamplingData[[#This Row],[Winning Candidate]]-SamplingData[[#This Row],[Losing Candidate]])/(SamplingData[[#Totals],[Winning Candidate]]-SamplingData[[#Totals],[Losing Candidate]]), 0)</f>
        <v>8.0338266384778007E-2</v>
      </c>
      <c r="R23" s="95">
        <f>IF(AND(SamplingData[[#This Row],[Total]]&lt;&gt; 0, NOT(ISBLANK(SamplingData[[#This Row],[Candidate 3]]))),(SamplingData[[#This Row],[Total]]+SamplingData[[#This Row],[Winning Candidate]]-SamplingData[[#This Row],[Candidate 3]])/(SamplingData[[#Totals],[Winning Candidate]]-SamplingData[[#Totals],[Candidate 3]]), 0)</f>
        <v>0</v>
      </c>
      <c r="S23" s="95">
        <f>IF(AND(SamplingData[[#This Row],[Total]]&lt;&gt; 0, NOT(ISBLANK(SamplingData[[#This Row],[Candidate 4]]))),(SamplingData[[#This Row],[Total]]+SamplingData[[#This Row],[Winning Candidate]]-SamplingData[[#This Row],[Candidate 4]])/(SamplingData[[#Totals],[Winning Candidate]]-SamplingData[[#Totals],[Candidate 4]]), 0)</f>
        <v>0</v>
      </c>
      <c r="T23" s="95">
        <f>IF(AND(SamplingData[[#This Row],[Total]]&lt;&gt; 0, NOT(ISBLANK(SamplingData[[#This Row],[Candidate 5]]))),(SamplingData[[#This Row],[Total]]+SamplingData[[#This Row],[Winning Candidate]]-SamplingData[[#This Row],[Candidate 5]])/(SamplingData[[#Totals],[Winning Candidate]]-SamplingData[[#Totals],[Candidate 5]]), 0)</f>
        <v>0</v>
      </c>
      <c r="U23" s="95">
        <f>IF(AND(SamplingData[[#This Row],[Total]]&lt;&gt; 0, NOT(ISBLANK(SamplingData[[#This Row],[Candidate 6]]))),(SamplingData[[#This Row],[Total]]+SamplingData[[#This Row],[Losing Candidate]]-SamplingData[[#This Row],[Candidate 6]])/(SamplingData[[#Totals],[Winning Candidate]]-SamplingData[[#Totals],[Candidate 6]]), 0)</f>
        <v>0</v>
      </c>
      <c r="V23" s="95">
        <f>IF(AND(SamplingData[[#This Row],[Total]]&lt;&gt; 0, NOT(ISBLANK(SamplingData[[#This Row],[Candidate 7]]))),(SamplingData[[#This Row],[Total]]+SamplingData[[#This Row],[Winning Candidate]]-SamplingData[[#This Row],[Candidate 7]])/(SamplingData[[#Totals],[Winning Candidate]]-SamplingData[[#Totals],[Candidate 7]]), 0)</f>
        <v>0</v>
      </c>
      <c r="W23" s="95">
        <f>IF(AND(SamplingData[[#This Row],[Total]]&lt;&gt; 0, NOT(ISBLANK(SamplingData[[#This Row],[Candidate 8]]))),(SamplingData[[#This Row],[Total]]+SamplingData[[#This Row],[Winning Candidate]]-SamplingData[[#This Row],[Candidate 8]])/(SamplingData[[#Totals],[Winning Candidate]]-SamplingData[[#Totals],[Candidate 8]]), 0)</f>
        <v>0</v>
      </c>
      <c r="X23"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3"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3"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3"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3" s="95">
        <f>MAX(SamplingData[[#This Row],[Error Bound (up) - Max. possible relative overstatement - Losing Candidate]:[Error Bound (up) - Max. possible relative overstatement - Candidate 12]])</f>
        <v>8.0338266384778007E-2</v>
      </c>
      <c r="AC23" s="95">
        <f>IF(SamplingData[[#This Row],[Max Error Bound (up)]] = 0,0,SamplingData[[#This Row],[Max Error Bound (up)]]/SamplingData[[#Totals],[Max Error Bound (up)]])</f>
        <v>6.0336614798348672E-3</v>
      </c>
      <c r="AD23" s="18">
        <f>SUM($AC$5:AC23)</f>
        <v>6.7799301365512848E-2</v>
      </c>
      <c r="AE23" s="95" t="str">
        <f t="array" ref="AE23">IF(SamplingData[[#This Row],[up/U Selection Probability]] = 0, "Zero", TEXT(SamplingData[[#This Row],[Lower Range]], REPT("0",LEN('General Info'!$B$42))) &amp; " - " &amp; TEXT(SamplingData[[#This Row],[Upper Range]], REPT("0",LEN('General Info'!$B$42))))</f>
        <v>062 - 067</v>
      </c>
      <c r="AF23" s="95">
        <f>SamplingData[[#This Row],[Upper Range]]-SamplingData[[#This Row],[Span]]</f>
        <v>61.765639885677977</v>
      </c>
      <c r="AG23" s="95">
        <f>IF(ISNUMBER('General Info'!$B$42), ((SamplingData[[#This Row],[up/U Selection Probability]]) * 'General Info'!$B$44) - 1, 0)</f>
        <v>5.0336614798348673</v>
      </c>
      <c r="AH23" s="95">
        <f>IF(ISNUMBER('General Info'!$B$42), (SamplingData[[#This Row],[Running (cumulative) sum]] * ('General Info'!$B$42 -'General Info'!$B$43 + 1)) + 'General Info'!$B$43 - 1, 0)</f>
        <v>66.799301365512846</v>
      </c>
      <c r="AI23" s="95">
        <f>IF(ISERROR(MATCH(SamplingData[[#This Row],[Batch by Type (p)]],SelectedPrecincts[Batch Name], 0)), "", INDEX(SelectedPrecincts[Draw], MATCH(SamplingData[[#This Row],[Batch by Type (p)]],SelectedPrecincts[Batch Name], 0)))</f>
        <v>29</v>
      </c>
      <c r="AJ23" s="96">
        <f>IF(COUNTIF(SelectedPrecincts[Batch Name],SamplingData[[#This Row],[Batch by Type (p)]]) &lt;&gt; 0, COUNTIF(SelectedPrecincts[Batch Name],SamplingData[[#This Row],[Batch by Type (p)]]), 0)</f>
        <v>1</v>
      </c>
    </row>
    <row r="24" spans="1:36" ht="15" customHeight="1" x14ac:dyDescent="0.35">
      <c r="A24" s="98" t="s">
        <v>235</v>
      </c>
      <c r="B24" s="98">
        <v>14</v>
      </c>
      <c r="C24" s="98">
        <v>7</v>
      </c>
      <c r="D24" s="93"/>
      <c r="E24" s="93"/>
      <c r="F24" s="93"/>
      <c r="G24" s="97"/>
      <c r="H24" s="97"/>
      <c r="I24" s="93"/>
      <c r="J24" s="93"/>
      <c r="K24" s="93"/>
      <c r="L24" s="93"/>
      <c r="M24" s="93"/>
      <c r="N24" s="98">
        <v>0</v>
      </c>
      <c r="O24" s="98">
        <v>0</v>
      </c>
      <c r="P24" s="94">
        <f>SUM(SamplingData[[#This Row],[Winning Candidate]:[Under Votes]])</f>
        <v>21</v>
      </c>
      <c r="Q24" s="95">
        <f>IF(AND(SamplingData[[#This Row],[Total]]&lt;&gt; 0, NOT(ISBLANK(SamplingData[[#This Row],[Losing Candidate]]))),(SamplingData[[#This Row],[Total]]+SamplingData[[#This Row],[Winning Candidate]]-SamplingData[[#This Row],[Losing Candidate]])/(SamplingData[[#Totals],[Winning Candidate]]-SamplingData[[#Totals],[Losing Candidate]]), 0)</f>
        <v>5.9196617336152217E-2</v>
      </c>
      <c r="R24" s="95">
        <f>IF(AND(SamplingData[[#This Row],[Total]]&lt;&gt; 0, NOT(ISBLANK(SamplingData[[#This Row],[Candidate 3]]))),(SamplingData[[#This Row],[Total]]+SamplingData[[#This Row],[Winning Candidate]]-SamplingData[[#This Row],[Candidate 3]])/(SamplingData[[#Totals],[Winning Candidate]]-SamplingData[[#Totals],[Candidate 3]]), 0)</f>
        <v>0</v>
      </c>
      <c r="S24" s="95">
        <f>IF(AND(SamplingData[[#This Row],[Total]]&lt;&gt; 0, NOT(ISBLANK(SamplingData[[#This Row],[Candidate 4]]))),(SamplingData[[#This Row],[Total]]+SamplingData[[#This Row],[Winning Candidate]]-SamplingData[[#This Row],[Candidate 4]])/(SamplingData[[#Totals],[Winning Candidate]]-SamplingData[[#Totals],[Candidate 4]]), 0)</f>
        <v>0</v>
      </c>
      <c r="T24" s="95">
        <f>IF(AND(SamplingData[[#This Row],[Total]]&lt;&gt; 0, NOT(ISBLANK(SamplingData[[#This Row],[Candidate 5]]))),(SamplingData[[#This Row],[Total]]+SamplingData[[#This Row],[Winning Candidate]]-SamplingData[[#This Row],[Candidate 5]])/(SamplingData[[#Totals],[Winning Candidate]]-SamplingData[[#Totals],[Candidate 5]]), 0)</f>
        <v>0</v>
      </c>
      <c r="U24" s="95">
        <f>IF(AND(SamplingData[[#This Row],[Total]]&lt;&gt; 0, NOT(ISBLANK(SamplingData[[#This Row],[Candidate 6]]))),(SamplingData[[#This Row],[Total]]+SamplingData[[#This Row],[Losing Candidate]]-SamplingData[[#This Row],[Candidate 6]])/(SamplingData[[#Totals],[Winning Candidate]]-SamplingData[[#Totals],[Candidate 6]]), 0)</f>
        <v>0</v>
      </c>
      <c r="V24" s="95">
        <f>IF(AND(SamplingData[[#This Row],[Total]]&lt;&gt; 0, NOT(ISBLANK(SamplingData[[#This Row],[Candidate 7]]))),(SamplingData[[#This Row],[Total]]+SamplingData[[#This Row],[Winning Candidate]]-SamplingData[[#This Row],[Candidate 7]])/(SamplingData[[#Totals],[Winning Candidate]]-SamplingData[[#Totals],[Candidate 7]]), 0)</f>
        <v>0</v>
      </c>
      <c r="W24" s="95">
        <f>IF(AND(SamplingData[[#This Row],[Total]]&lt;&gt; 0, NOT(ISBLANK(SamplingData[[#This Row],[Candidate 8]]))),(SamplingData[[#This Row],[Total]]+SamplingData[[#This Row],[Winning Candidate]]-SamplingData[[#This Row],[Candidate 8]])/(SamplingData[[#Totals],[Winning Candidate]]-SamplingData[[#Totals],[Candidate 8]]), 0)</f>
        <v>0</v>
      </c>
      <c r="X24"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4"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4"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4"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4" s="95">
        <f>MAX(SamplingData[[#This Row],[Error Bound (up) - Max. possible relative overstatement - Losing Candidate]:[Error Bound (up) - Max. possible relative overstatement - Candidate 12]])</f>
        <v>5.9196617336152217E-2</v>
      </c>
      <c r="AC24" s="95">
        <f>IF(SamplingData[[#This Row],[Max Error Bound (up)]] = 0,0,SamplingData[[#This Row],[Max Error Bound (up)]]/SamplingData[[#Totals],[Max Error Bound (up)]])</f>
        <v>4.4458558272467445E-3</v>
      </c>
      <c r="AD24" s="18">
        <f>SUM($AC$5:AC24)</f>
        <v>7.224515719275959E-2</v>
      </c>
      <c r="AE24" s="95" t="str">
        <f t="array" ref="AE24">IF(SamplingData[[#This Row],[up/U Selection Probability]] = 0, "Zero", TEXT(SamplingData[[#This Row],[Lower Range]], REPT("0",LEN('General Info'!$B$42))) &amp; " - " &amp; TEXT(SamplingData[[#This Row],[Upper Range]], REPT("0",LEN('General Info'!$B$42))))</f>
        <v>068 - 071</v>
      </c>
      <c r="AF24" s="95">
        <f>SamplingData[[#This Row],[Upper Range]]-SamplingData[[#This Row],[Span]]</f>
        <v>67.799301365512846</v>
      </c>
      <c r="AG24" s="95">
        <f>IF(ISNUMBER('General Info'!$B$42), ((SamplingData[[#This Row],[up/U Selection Probability]]) * 'General Info'!$B$44) - 1, 0)</f>
        <v>3.4458558272467448</v>
      </c>
      <c r="AH24" s="95">
        <f>IF(ISNUMBER('General Info'!$B$42), (SamplingData[[#This Row],[Running (cumulative) sum]] * ('General Info'!$B$42 -'General Info'!$B$43 + 1)) + 'General Info'!$B$43 - 1, 0)</f>
        <v>71.245157192759592</v>
      </c>
      <c r="AI24" s="95" t="str">
        <f>IF(ISERROR(MATCH(SamplingData[[#This Row],[Batch by Type (p)]],SelectedPrecincts[Batch Name], 0)), "", INDEX(SelectedPrecincts[Draw], MATCH(SamplingData[[#This Row],[Batch by Type (p)]],SelectedPrecincts[Batch Name], 0)))</f>
        <v/>
      </c>
      <c r="AJ24" s="96">
        <f>IF(COUNTIF(SelectedPrecincts[Batch Name],SamplingData[[#This Row],[Batch by Type (p)]]) &lt;&gt; 0, COUNTIF(SelectedPrecincts[Batch Name],SamplingData[[#This Row],[Batch by Type (p)]]), 0)</f>
        <v>0</v>
      </c>
    </row>
    <row r="25" spans="1:36" ht="15" customHeight="1" x14ac:dyDescent="0.35">
      <c r="A25" s="98" t="s">
        <v>236</v>
      </c>
      <c r="B25" s="98">
        <v>7</v>
      </c>
      <c r="C25" s="98">
        <v>3</v>
      </c>
      <c r="D25" s="93"/>
      <c r="E25" s="93"/>
      <c r="F25" s="93"/>
      <c r="G25" s="97"/>
      <c r="H25" s="97"/>
      <c r="I25" s="93"/>
      <c r="J25" s="93"/>
      <c r="K25" s="93"/>
      <c r="L25" s="93"/>
      <c r="M25" s="93"/>
      <c r="N25" s="98">
        <v>0</v>
      </c>
      <c r="O25" s="98">
        <v>0</v>
      </c>
      <c r="P25" s="94">
        <f>SUM(SamplingData[[#This Row],[Winning Candidate]:[Under Votes]])</f>
        <v>10</v>
      </c>
      <c r="Q25" s="95">
        <f>IF(AND(SamplingData[[#This Row],[Total]]&lt;&gt; 0, NOT(ISBLANK(SamplingData[[#This Row],[Losing Candidate]]))),(SamplingData[[#This Row],[Total]]+SamplingData[[#This Row],[Winning Candidate]]-SamplingData[[#This Row],[Losing Candidate]])/(SamplingData[[#Totals],[Winning Candidate]]-SamplingData[[#Totals],[Losing Candidate]]), 0)</f>
        <v>2.9598308668076109E-2</v>
      </c>
      <c r="R25" s="95">
        <f>IF(AND(SamplingData[[#This Row],[Total]]&lt;&gt; 0, NOT(ISBLANK(SamplingData[[#This Row],[Candidate 3]]))),(SamplingData[[#This Row],[Total]]+SamplingData[[#This Row],[Winning Candidate]]-SamplingData[[#This Row],[Candidate 3]])/(SamplingData[[#Totals],[Winning Candidate]]-SamplingData[[#Totals],[Candidate 3]]), 0)</f>
        <v>0</v>
      </c>
      <c r="S25" s="95">
        <f>IF(AND(SamplingData[[#This Row],[Total]]&lt;&gt; 0, NOT(ISBLANK(SamplingData[[#This Row],[Candidate 4]]))),(SamplingData[[#This Row],[Total]]+SamplingData[[#This Row],[Winning Candidate]]-SamplingData[[#This Row],[Candidate 4]])/(SamplingData[[#Totals],[Winning Candidate]]-SamplingData[[#Totals],[Candidate 4]]), 0)</f>
        <v>0</v>
      </c>
      <c r="T25" s="95">
        <f>IF(AND(SamplingData[[#This Row],[Total]]&lt;&gt; 0, NOT(ISBLANK(SamplingData[[#This Row],[Candidate 5]]))),(SamplingData[[#This Row],[Total]]+SamplingData[[#This Row],[Winning Candidate]]-SamplingData[[#This Row],[Candidate 5]])/(SamplingData[[#Totals],[Winning Candidate]]-SamplingData[[#Totals],[Candidate 5]]), 0)</f>
        <v>0</v>
      </c>
      <c r="U25" s="95">
        <f>IF(AND(SamplingData[[#This Row],[Total]]&lt;&gt; 0, NOT(ISBLANK(SamplingData[[#This Row],[Candidate 6]]))),(SamplingData[[#This Row],[Total]]+SamplingData[[#This Row],[Losing Candidate]]-SamplingData[[#This Row],[Candidate 6]])/(SamplingData[[#Totals],[Winning Candidate]]-SamplingData[[#Totals],[Candidate 6]]), 0)</f>
        <v>0</v>
      </c>
      <c r="V25" s="95">
        <f>IF(AND(SamplingData[[#This Row],[Total]]&lt;&gt; 0, NOT(ISBLANK(SamplingData[[#This Row],[Candidate 7]]))),(SamplingData[[#This Row],[Total]]+SamplingData[[#This Row],[Winning Candidate]]-SamplingData[[#This Row],[Candidate 7]])/(SamplingData[[#Totals],[Winning Candidate]]-SamplingData[[#Totals],[Candidate 7]]), 0)</f>
        <v>0</v>
      </c>
      <c r="W25" s="95">
        <f>IF(AND(SamplingData[[#This Row],[Total]]&lt;&gt; 0, NOT(ISBLANK(SamplingData[[#This Row],[Candidate 8]]))),(SamplingData[[#This Row],[Total]]+SamplingData[[#This Row],[Winning Candidate]]-SamplingData[[#This Row],[Candidate 8]])/(SamplingData[[#Totals],[Winning Candidate]]-SamplingData[[#Totals],[Candidate 8]]), 0)</f>
        <v>0</v>
      </c>
      <c r="X25"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5"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5"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5"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5" s="95">
        <f>MAX(SamplingData[[#This Row],[Error Bound (up) - Max. possible relative overstatement - Losing Candidate]:[Error Bound (up) - Max. possible relative overstatement - Candidate 12]])</f>
        <v>2.9598308668076109E-2</v>
      </c>
      <c r="AC25" s="95">
        <f>IF(SamplingData[[#This Row],[Max Error Bound (up)]] = 0,0,SamplingData[[#This Row],[Max Error Bound (up)]]/SamplingData[[#Totals],[Max Error Bound (up)]])</f>
        <v>2.2229279136233722E-3</v>
      </c>
      <c r="AD25" s="18">
        <f>SUM($AC$5:AC25)</f>
        <v>7.4468085106382961E-2</v>
      </c>
      <c r="AE25" s="95" t="str">
        <f t="array" ref="AE25">IF(SamplingData[[#This Row],[up/U Selection Probability]] = 0, "Zero", TEXT(SamplingData[[#This Row],[Lower Range]], REPT("0",LEN('General Info'!$B$42))) &amp; " - " &amp; TEXT(SamplingData[[#This Row],[Upper Range]], REPT("0",LEN('General Info'!$B$42))))</f>
        <v>072 - 073</v>
      </c>
      <c r="AF25" s="95">
        <f>SamplingData[[#This Row],[Upper Range]]-SamplingData[[#This Row],[Span]]</f>
        <v>72.245157192759592</v>
      </c>
      <c r="AG25" s="95">
        <f>IF(ISNUMBER('General Info'!$B$42), ((SamplingData[[#This Row],[up/U Selection Probability]]) * 'General Info'!$B$44) - 1, 0)</f>
        <v>1.2229279136233724</v>
      </c>
      <c r="AH25" s="95">
        <f>IF(ISNUMBER('General Info'!$B$42), (SamplingData[[#This Row],[Running (cumulative) sum]] * ('General Info'!$B$42 -'General Info'!$B$43 + 1)) + 'General Info'!$B$43 - 1, 0)</f>
        <v>73.468085106382958</v>
      </c>
      <c r="AI25" s="95" t="str">
        <f>IF(ISERROR(MATCH(SamplingData[[#This Row],[Batch by Type (p)]],SelectedPrecincts[Batch Name], 0)), "", INDEX(SelectedPrecincts[Draw], MATCH(SamplingData[[#This Row],[Batch by Type (p)]],SelectedPrecincts[Batch Name], 0)))</f>
        <v/>
      </c>
      <c r="AJ25" s="96">
        <f>IF(COUNTIF(SelectedPrecincts[Batch Name],SamplingData[[#This Row],[Batch by Type (p)]]) &lt;&gt; 0, COUNTIF(SelectedPrecincts[Batch Name],SamplingData[[#This Row],[Batch by Type (p)]]), 0)</f>
        <v>0</v>
      </c>
    </row>
    <row r="26" spans="1:36" ht="15" customHeight="1" x14ac:dyDescent="0.35">
      <c r="A26" s="98" t="s">
        <v>237</v>
      </c>
      <c r="B26" s="98">
        <v>6</v>
      </c>
      <c r="C26" s="98">
        <v>1</v>
      </c>
      <c r="D26" s="93"/>
      <c r="E26" s="93"/>
      <c r="F26" s="93"/>
      <c r="G26" s="97"/>
      <c r="H26" s="97"/>
      <c r="I26" s="93"/>
      <c r="J26" s="93"/>
      <c r="K26" s="93"/>
      <c r="L26" s="93"/>
      <c r="M26" s="93"/>
      <c r="N26" s="98">
        <v>0</v>
      </c>
      <c r="O26" s="98">
        <v>0</v>
      </c>
      <c r="P26" s="94">
        <f>SUM(SamplingData[[#This Row],[Winning Candidate]:[Under Votes]])</f>
        <v>7</v>
      </c>
      <c r="Q26" s="95">
        <f>IF(AND(SamplingData[[#This Row],[Total]]&lt;&gt; 0, NOT(ISBLANK(SamplingData[[#This Row],[Losing Candidate]]))),(SamplingData[[#This Row],[Total]]+SamplingData[[#This Row],[Winning Candidate]]-SamplingData[[#This Row],[Losing Candidate]])/(SamplingData[[#Totals],[Winning Candidate]]-SamplingData[[#Totals],[Losing Candidate]]), 0)</f>
        <v>2.5369978858350951E-2</v>
      </c>
      <c r="R26" s="95">
        <f>IF(AND(SamplingData[[#This Row],[Total]]&lt;&gt; 0, NOT(ISBLANK(SamplingData[[#This Row],[Candidate 3]]))),(SamplingData[[#This Row],[Total]]+SamplingData[[#This Row],[Winning Candidate]]-SamplingData[[#This Row],[Candidate 3]])/(SamplingData[[#Totals],[Winning Candidate]]-SamplingData[[#Totals],[Candidate 3]]), 0)</f>
        <v>0</v>
      </c>
      <c r="S26" s="95">
        <f>IF(AND(SamplingData[[#This Row],[Total]]&lt;&gt; 0, NOT(ISBLANK(SamplingData[[#This Row],[Candidate 4]]))),(SamplingData[[#This Row],[Total]]+SamplingData[[#This Row],[Winning Candidate]]-SamplingData[[#This Row],[Candidate 4]])/(SamplingData[[#Totals],[Winning Candidate]]-SamplingData[[#Totals],[Candidate 4]]), 0)</f>
        <v>0</v>
      </c>
      <c r="T26" s="95">
        <f>IF(AND(SamplingData[[#This Row],[Total]]&lt;&gt; 0, NOT(ISBLANK(SamplingData[[#This Row],[Candidate 5]]))),(SamplingData[[#This Row],[Total]]+SamplingData[[#This Row],[Winning Candidate]]-SamplingData[[#This Row],[Candidate 5]])/(SamplingData[[#Totals],[Winning Candidate]]-SamplingData[[#Totals],[Candidate 5]]), 0)</f>
        <v>0</v>
      </c>
      <c r="U26" s="95">
        <f>IF(AND(SamplingData[[#This Row],[Total]]&lt;&gt; 0, NOT(ISBLANK(SamplingData[[#This Row],[Candidate 6]]))),(SamplingData[[#This Row],[Total]]+SamplingData[[#This Row],[Losing Candidate]]-SamplingData[[#This Row],[Candidate 6]])/(SamplingData[[#Totals],[Winning Candidate]]-SamplingData[[#Totals],[Candidate 6]]), 0)</f>
        <v>0</v>
      </c>
      <c r="V26" s="95">
        <f>IF(AND(SamplingData[[#This Row],[Total]]&lt;&gt; 0, NOT(ISBLANK(SamplingData[[#This Row],[Candidate 7]]))),(SamplingData[[#This Row],[Total]]+SamplingData[[#This Row],[Winning Candidate]]-SamplingData[[#This Row],[Candidate 7]])/(SamplingData[[#Totals],[Winning Candidate]]-SamplingData[[#Totals],[Candidate 7]]), 0)</f>
        <v>0</v>
      </c>
      <c r="W26" s="95">
        <f>IF(AND(SamplingData[[#This Row],[Total]]&lt;&gt; 0, NOT(ISBLANK(SamplingData[[#This Row],[Candidate 8]]))),(SamplingData[[#This Row],[Total]]+SamplingData[[#This Row],[Winning Candidate]]-SamplingData[[#This Row],[Candidate 8]])/(SamplingData[[#Totals],[Winning Candidate]]-SamplingData[[#Totals],[Candidate 8]]), 0)</f>
        <v>0</v>
      </c>
      <c r="X26"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6"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6"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6"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6" s="95">
        <f>MAX(SamplingData[[#This Row],[Error Bound (up) - Max. possible relative overstatement - Losing Candidate]:[Error Bound (up) - Max. possible relative overstatement - Candidate 12]])</f>
        <v>2.5369978858350951E-2</v>
      </c>
      <c r="AC26" s="95">
        <f>IF(SamplingData[[#This Row],[Max Error Bound (up)]] = 0,0,SamplingData[[#This Row],[Max Error Bound (up)]]/SamplingData[[#Totals],[Max Error Bound (up)]])</f>
        <v>1.9053667831057475E-3</v>
      </c>
      <c r="AD26" s="18">
        <f>SUM($AC$5:AC26)</f>
        <v>7.6373451889488714E-2</v>
      </c>
      <c r="AE26" s="95" t="str">
        <f t="array" ref="AE26">IF(SamplingData[[#This Row],[up/U Selection Probability]] = 0, "Zero", TEXT(SamplingData[[#This Row],[Lower Range]], REPT("0",LEN('General Info'!$B$42))) &amp; " - " &amp; TEXT(SamplingData[[#This Row],[Upper Range]], REPT("0",LEN('General Info'!$B$42))))</f>
        <v>074 - 075</v>
      </c>
      <c r="AF26" s="95">
        <f>SamplingData[[#This Row],[Upper Range]]-SamplingData[[#This Row],[Span]]</f>
        <v>74.468085106382972</v>
      </c>
      <c r="AG26" s="95">
        <f>IF(ISNUMBER('General Info'!$B$42), ((SamplingData[[#This Row],[up/U Selection Probability]]) * 'General Info'!$B$44) - 1, 0)</f>
        <v>0.90536678310574747</v>
      </c>
      <c r="AH26" s="95">
        <f>IF(ISNUMBER('General Info'!$B$42), (SamplingData[[#This Row],[Running (cumulative) sum]] * ('General Info'!$B$42 -'General Info'!$B$43 + 1)) + 'General Info'!$B$43 - 1, 0)</f>
        <v>75.37345188948872</v>
      </c>
      <c r="AI26" s="95" t="str">
        <f>IF(ISERROR(MATCH(SamplingData[[#This Row],[Batch by Type (p)]],SelectedPrecincts[Batch Name], 0)), "", INDEX(SelectedPrecincts[Draw], MATCH(SamplingData[[#This Row],[Batch by Type (p)]],SelectedPrecincts[Batch Name], 0)))</f>
        <v/>
      </c>
      <c r="AJ26" s="96">
        <f>IF(COUNTIF(SelectedPrecincts[Batch Name],SamplingData[[#This Row],[Batch by Type (p)]]) &lt;&gt; 0, COUNTIF(SelectedPrecincts[Batch Name],SamplingData[[#This Row],[Batch by Type (p)]]), 0)</f>
        <v>0</v>
      </c>
    </row>
    <row r="27" spans="1:36" ht="15" customHeight="1" x14ac:dyDescent="0.35">
      <c r="A27" s="98" t="s">
        <v>238</v>
      </c>
      <c r="B27" s="98">
        <v>8</v>
      </c>
      <c r="C27" s="98">
        <v>1</v>
      </c>
      <c r="D27" s="93"/>
      <c r="E27" s="93"/>
      <c r="F27" s="93"/>
      <c r="G27" s="97"/>
      <c r="H27" s="97"/>
      <c r="I27" s="93"/>
      <c r="J27" s="93"/>
      <c r="K27" s="93"/>
      <c r="L27" s="93"/>
      <c r="M27" s="93"/>
      <c r="N27" s="98">
        <v>0</v>
      </c>
      <c r="O27" s="98">
        <v>0</v>
      </c>
      <c r="P27" s="94">
        <f>SUM(SamplingData[[#This Row],[Winning Candidate]:[Under Votes]])</f>
        <v>9</v>
      </c>
      <c r="Q27" s="95">
        <f>IF(AND(SamplingData[[#This Row],[Total]]&lt;&gt; 0, NOT(ISBLANK(SamplingData[[#This Row],[Losing Candidate]]))),(SamplingData[[#This Row],[Total]]+SamplingData[[#This Row],[Winning Candidate]]-SamplingData[[#This Row],[Losing Candidate]])/(SamplingData[[#Totals],[Winning Candidate]]-SamplingData[[#Totals],[Losing Candidate]]), 0)</f>
        <v>3.382663847780127E-2</v>
      </c>
      <c r="R27" s="95">
        <f>IF(AND(SamplingData[[#This Row],[Total]]&lt;&gt; 0, NOT(ISBLANK(SamplingData[[#This Row],[Candidate 3]]))),(SamplingData[[#This Row],[Total]]+SamplingData[[#This Row],[Winning Candidate]]-SamplingData[[#This Row],[Candidate 3]])/(SamplingData[[#Totals],[Winning Candidate]]-SamplingData[[#Totals],[Candidate 3]]), 0)</f>
        <v>0</v>
      </c>
      <c r="S27" s="95">
        <f>IF(AND(SamplingData[[#This Row],[Total]]&lt;&gt; 0, NOT(ISBLANK(SamplingData[[#This Row],[Candidate 4]]))),(SamplingData[[#This Row],[Total]]+SamplingData[[#This Row],[Winning Candidate]]-SamplingData[[#This Row],[Candidate 4]])/(SamplingData[[#Totals],[Winning Candidate]]-SamplingData[[#Totals],[Candidate 4]]), 0)</f>
        <v>0</v>
      </c>
      <c r="T27" s="95">
        <f>IF(AND(SamplingData[[#This Row],[Total]]&lt;&gt; 0, NOT(ISBLANK(SamplingData[[#This Row],[Candidate 5]]))),(SamplingData[[#This Row],[Total]]+SamplingData[[#This Row],[Winning Candidate]]-SamplingData[[#This Row],[Candidate 5]])/(SamplingData[[#Totals],[Winning Candidate]]-SamplingData[[#Totals],[Candidate 5]]), 0)</f>
        <v>0</v>
      </c>
      <c r="U27" s="95">
        <f>IF(AND(SamplingData[[#This Row],[Total]]&lt;&gt; 0, NOT(ISBLANK(SamplingData[[#This Row],[Candidate 6]]))),(SamplingData[[#This Row],[Total]]+SamplingData[[#This Row],[Losing Candidate]]-SamplingData[[#This Row],[Candidate 6]])/(SamplingData[[#Totals],[Winning Candidate]]-SamplingData[[#Totals],[Candidate 6]]), 0)</f>
        <v>0</v>
      </c>
      <c r="V27" s="95">
        <f>IF(AND(SamplingData[[#This Row],[Total]]&lt;&gt; 0, NOT(ISBLANK(SamplingData[[#This Row],[Candidate 7]]))),(SamplingData[[#This Row],[Total]]+SamplingData[[#This Row],[Winning Candidate]]-SamplingData[[#This Row],[Candidate 7]])/(SamplingData[[#Totals],[Winning Candidate]]-SamplingData[[#Totals],[Candidate 7]]), 0)</f>
        <v>0</v>
      </c>
      <c r="W27" s="95">
        <f>IF(AND(SamplingData[[#This Row],[Total]]&lt;&gt; 0, NOT(ISBLANK(SamplingData[[#This Row],[Candidate 8]]))),(SamplingData[[#This Row],[Total]]+SamplingData[[#This Row],[Winning Candidate]]-SamplingData[[#This Row],[Candidate 8]])/(SamplingData[[#Totals],[Winning Candidate]]-SamplingData[[#Totals],[Candidate 8]]), 0)</f>
        <v>0</v>
      </c>
      <c r="X27"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7"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7"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7"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7" s="95">
        <f>MAX(SamplingData[[#This Row],[Error Bound (up) - Max. possible relative overstatement - Losing Candidate]:[Error Bound (up) - Max. possible relative overstatement - Candidate 12]])</f>
        <v>3.382663847780127E-2</v>
      </c>
      <c r="AC27" s="95">
        <f>IF(SamplingData[[#This Row],[Max Error Bound (up)]] = 0,0,SamplingData[[#This Row],[Max Error Bound (up)]]/SamplingData[[#Totals],[Max Error Bound (up)]])</f>
        <v>2.5404890441409968E-3</v>
      </c>
      <c r="AD27" s="18">
        <f>SUM($AC$5:AC27)</f>
        <v>7.8913940933629717E-2</v>
      </c>
      <c r="AE27" s="95" t="str">
        <f t="array" ref="AE27">IF(SamplingData[[#This Row],[up/U Selection Probability]] = 0, "Zero", TEXT(SamplingData[[#This Row],[Lower Range]], REPT("0",LEN('General Info'!$B$42))) &amp; " - " &amp; TEXT(SamplingData[[#This Row],[Upper Range]], REPT("0",LEN('General Info'!$B$42))))</f>
        <v>076 - 078</v>
      </c>
      <c r="AF27" s="95">
        <f>SamplingData[[#This Row],[Upper Range]]-SamplingData[[#This Row],[Span]]</f>
        <v>76.37345188948872</v>
      </c>
      <c r="AG27" s="95">
        <f>IF(ISNUMBER('General Info'!$B$42), ((SamplingData[[#This Row],[up/U Selection Probability]]) * 'General Info'!$B$44) - 1, 0)</f>
        <v>1.5404890441409966</v>
      </c>
      <c r="AH27" s="95">
        <f>IF(ISNUMBER('General Info'!$B$42), (SamplingData[[#This Row],[Running (cumulative) sum]] * ('General Info'!$B$42 -'General Info'!$B$43 + 1)) + 'General Info'!$B$43 - 1, 0)</f>
        <v>77.913940933629718</v>
      </c>
      <c r="AI27" s="95" t="str">
        <f>IF(ISERROR(MATCH(SamplingData[[#This Row],[Batch by Type (p)]],SelectedPrecincts[Batch Name], 0)), "", INDEX(SelectedPrecincts[Draw], MATCH(SamplingData[[#This Row],[Batch by Type (p)]],SelectedPrecincts[Batch Name], 0)))</f>
        <v/>
      </c>
      <c r="AJ27" s="96">
        <f>IF(COUNTIF(SelectedPrecincts[Batch Name],SamplingData[[#This Row],[Batch by Type (p)]]) &lt;&gt; 0, COUNTIF(SelectedPrecincts[Batch Name],SamplingData[[#This Row],[Batch by Type (p)]]), 0)</f>
        <v>0</v>
      </c>
    </row>
    <row r="28" spans="1:36" ht="15" customHeight="1" x14ac:dyDescent="0.35">
      <c r="A28" s="98" t="s">
        <v>239</v>
      </c>
      <c r="B28" s="98">
        <v>16</v>
      </c>
      <c r="C28" s="98">
        <v>16</v>
      </c>
      <c r="D28" s="93"/>
      <c r="E28" s="93"/>
      <c r="F28" s="93"/>
      <c r="G28" s="97"/>
      <c r="H28" s="97"/>
      <c r="I28" s="93"/>
      <c r="J28" s="93"/>
      <c r="K28" s="93"/>
      <c r="L28" s="93"/>
      <c r="M28" s="93"/>
      <c r="N28" s="98">
        <v>0</v>
      </c>
      <c r="O28" s="98">
        <v>2</v>
      </c>
      <c r="P28" s="94">
        <f>SUM(SamplingData[[#This Row],[Winning Candidate]:[Under Votes]])</f>
        <v>34</v>
      </c>
      <c r="Q28" s="95">
        <f>IF(AND(SamplingData[[#This Row],[Total]]&lt;&gt; 0, NOT(ISBLANK(SamplingData[[#This Row],[Losing Candidate]]))),(SamplingData[[#This Row],[Total]]+SamplingData[[#This Row],[Winning Candidate]]-SamplingData[[#This Row],[Losing Candidate]])/(SamplingData[[#Totals],[Winning Candidate]]-SamplingData[[#Totals],[Losing Candidate]]), 0)</f>
        <v>7.1881606765327691E-2</v>
      </c>
      <c r="R28" s="95">
        <f>IF(AND(SamplingData[[#This Row],[Total]]&lt;&gt; 0, NOT(ISBLANK(SamplingData[[#This Row],[Candidate 3]]))),(SamplingData[[#This Row],[Total]]+SamplingData[[#This Row],[Winning Candidate]]-SamplingData[[#This Row],[Candidate 3]])/(SamplingData[[#Totals],[Winning Candidate]]-SamplingData[[#Totals],[Candidate 3]]), 0)</f>
        <v>0</v>
      </c>
      <c r="S28" s="95">
        <f>IF(AND(SamplingData[[#This Row],[Total]]&lt;&gt; 0, NOT(ISBLANK(SamplingData[[#This Row],[Candidate 4]]))),(SamplingData[[#This Row],[Total]]+SamplingData[[#This Row],[Winning Candidate]]-SamplingData[[#This Row],[Candidate 4]])/(SamplingData[[#Totals],[Winning Candidate]]-SamplingData[[#Totals],[Candidate 4]]), 0)</f>
        <v>0</v>
      </c>
      <c r="T28" s="95">
        <f>IF(AND(SamplingData[[#This Row],[Total]]&lt;&gt; 0, NOT(ISBLANK(SamplingData[[#This Row],[Candidate 5]]))),(SamplingData[[#This Row],[Total]]+SamplingData[[#This Row],[Winning Candidate]]-SamplingData[[#This Row],[Candidate 5]])/(SamplingData[[#Totals],[Winning Candidate]]-SamplingData[[#Totals],[Candidate 5]]), 0)</f>
        <v>0</v>
      </c>
      <c r="U28" s="95">
        <f>IF(AND(SamplingData[[#This Row],[Total]]&lt;&gt; 0, NOT(ISBLANK(SamplingData[[#This Row],[Candidate 6]]))),(SamplingData[[#This Row],[Total]]+SamplingData[[#This Row],[Losing Candidate]]-SamplingData[[#This Row],[Candidate 6]])/(SamplingData[[#Totals],[Winning Candidate]]-SamplingData[[#Totals],[Candidate 6]]), 0)</f>
        <v>0</v>
      </c>
      <c r="V28" s="95">
        <f>IF(AND(SamplingData[[#This Row],[Total]]&lt;&gt; 0, NOT(ISBLANK(SamplingData[[#This Row],[Candidate 7]]))),(SamplingData[[#This Row],[Total]]+SamplingData[[#This Row],[Winning Candidate]]-SamplingData[[#This Row],[Candidate 7]])/(SamplingData[[#Totals],[Winning Candidate]]-SamplingData[[#Totals],[Candidate 7]]), 0)</f>
        <v>0</v>
      </c>
      <c r="W28" s="95">
        <f>IF(AND(SamplingData[[#This Row],[Total]]&lt;&gt; 0, NOT(ISBLANK(SamplingData[[#This Row],[Candidate 8]]))),(SamplingData[[#This Row],[Total]]+SamplingData[[#This Row],[Winning Candidate]]-SamplingData[[#This Row],[Candidate 8]])/(SamplingData[[#Totals],[Winning Candidate]]-SamplingData[[#Totals],[Candidate 8]]), 0)</f>
        <v>0</v>
      </c>
      <c r="X28"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8"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8"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8"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8" s="95">
        <f>MAX(SamplingData[[#This Row],[Error Bound (up) - Max. possible relative overstatement - Losing Candidate]:[Error Bound (up) - Max. possible relative overstatement - Candidate 12]])</f>
        <v>7.1881606765327691E-2</v>
      </c>
      <c r="AC28" s="95">
        <f>IF(SamplingData[[#This Row],[Max Error Bound (up)]] = 0,0,SamplingData[[#This Row],[Max Error Bound (up)]]/SamplingData[[#Totals],[Max Error Bound (up)]])</f>
        <v>5.3985392187996181E-3</v>
      </c>
      <c r="AD28" s="18">
        <f>SUM($AC$5:AC28)</f>
        <v>8.4312480152429342E-2</v>
      </c>
      <c r="AE28" s="95" t="str">
        <f t="array" ref="AE28">IF(SamplingData[[#This Row],[up/U Selection Probability]] = 0, "Zero", TEXT(SamplingData[[#This Row],[Lower Range]], REPT("0",LEN('General Info'!$B$42))) &amp; " - " &amp; TEXT(SamplingData[[#This Row],[Upper Range]], REPT("0",LEN('General Info'!$B$42))))</f>
        <v>079 - 083</v>
      </c>
      <c r="AF28" s="95">
        <f>SamplingData[[#This Row],[Upper Range]]-SamplingData[[#This Row],[Span]]</f>
        <v>78.913940933629732</v>
      </c>
      <c r="AG28" s="95">
        <f>IF(ISNUMBER('General Info'!$B$42), ((SamplingData[[#This Row],[up/U Selection Probability]]) * 'General Info'!$B$44) - 1, 0)</f>
        <v>4.398539218799618</v>
      </c>
      <c r="AH28" s="95">
        <f>IF(ISNUMBER('General Info'!$B$42), (SamplingData[[#This Row],[Running (cumulative) sum]] * ('General Info'!$B$42 -'General Info'!$B$43 + 1)) + 'General Info'!$B$43 - 1, 0)</f>
        <v>83.312480152429345</v>
      </c>
      <c r="AI28" s="95" t="str">
        <f>IF(ISERROR(MATCH(SamplingData[[#This Row],[Batch by Type (p)]],SelectedPrecincts[Batch Name], 0)), "", INDEX(SelectedPrecincts[Draw], MATCH(SamplingData[[#This Row],[Batch by Type (p)]],SelectedPrecincts[Batch Name], 0)))</f>
        <v/>
      </c>
      <c r="AJ28" s="96">
        <f>IF(COUNTIF(SelectedPrecincts[Batch Name],SamplingData[[#This Row],[Batch by Type (p)]]) &lt;&gt; 0, COUNTIF(SelectedPrecincts[Batch Name],SamplingData[[#This Row],[Batch by Type (p)]]), 0)</f>
        <v>0</v>
      </c>
    </row>
    <row r="29" spans="1:36" ht="15" customHeight="1" x14ac:dyDescent="0.35">
      <c r="A29" s="98" t="s">
        <v>240</v>
      </c>
      <c r="B29" s="98">
        <v>2</v>
      </c>
      <c r="C29" s="98">
        <v>7</v>
      </c>
      <c r="D29" s="93"/>
      <c r="E29" s="93"/>
      <c r="F29" s="93"/>
      <c r="G29" s="97"/>
      <c r="H29" s="97"/>
      <c r="I29" s="93"/>
      <c r="J29" s="93"/>
      <c r="K29" s="93"/>
      <c r="L29" s="93"/>
      <c r="M29" s="93"/>
      <c r="N29" s="98">
        <v>0</v>
      </c>
      <c r="O29" s="98">
        <v>0</v>
      </c>
      <c r="P29" s="94">
        <f>SUM(SamplingData[[#This Row],[Winning Candidate]:[Under Votes]])</f>
        <v>9</v>
      </c>
      <c r="Q29" s="95">
        <f>IF(AND(SamplingData[[#This Row],[Total]]&lt;&gt; 0, NOT(ISBLANK(SamplingData[[#This Row],[Losing Candidate]]))),(SamplingData[[#This Row],[Total]]+SamplingData[[#This Row],[Winning Candidate]]-SamplingData[[#This Row],[Losing Candidate]])/(SamplingData[[#Totals],[Winning Candidate]]-SamplingData[[#Totals],[Losing Candidate]]), 0)</f>
        <v>8.4566596194503175E-3</v>
      </c>
      <c r="R29" s="95">
        <f>IF(AND(SamplingData[[#This Row],[Total]]&lt;&gt; 0, NOT(ISBLANK(SamplingData[[#This Row],[Candidate 3]]))),(SamplingData[[#This Row],[Total]]+SamplingData[[#This Row],[Winning Candidate]]-SamplingData[[#This Row],[Candidate 3]])/(SamplingData[[#Totals],[Winning Candidate]]-SamplingData[[#Totals],[Candidate 3]]), 0)</f>
        <v>0</v>
      </c>
      <c r="S29" s="95">
        <f>IF(AND(SamplingData[[#This Row],[Total]]&lt;&gt; 0, NOT(ISBLANK(SamplingData[[#This Row],[Candidate 4]]))),(SamplingData[[#This Row],[Total]]+SamplingData[[#This Row],[Winning Candidate]]-SamplingData[[#This Row],[Candidate 4]])/(SamplingData[[#Totals],[Winning Candidate]]-SamplingData[[#Totals],[Candidate 4]]), 0)</f>
        <v>0</v>
      </c>
      <c r="T29" s="95">
        <f>IF(AND(SamplingData[[#This Row],[Total]]&lt;&gt; 0, NOT(ISBLANK(SamplingData[[#This Row],[Candidate 5]]))),(SamplingData[[#This Row],[Total]]+SamplingData[[#This Row],[Winning Candidate]]-SamplingData[[#This Row],[Candidate 5]])/(SamplingData[[#Totals],[Winning Candidate]]-SamplingData[[#Totals],[Candidate 5]]), 0)</f>
        <v>0</v>
      </c>
      <c r="U29" s="95">
        <f>IF(AND(SamplingData[[#This Row],[Total]]&lt;&gt; 0, NOT(ISBLANK(SamplingData[[#This Row],[Candidate 6]]))),(SamplingData[[#This Row],[Total]]+SamplingData[[#This Row],[Losing Candidate]]-SamplingData[[#This Row],[Candidate 6]])/(SamplingData[[#Totals],[Winning Candidate]]-SamplingData[[#Totals],[Candidate 6]]), 0)</f>
        <v>0</v>
      </c>
      <c r="V29" s="95">
        <f>IF(AND(SamplingData[[#This Row],[Total]]&lt;&gt; 0, NOT(ISBLANK(SamplingData[[#This Row],[Candidate 7]]))),(SamplingData[[#This Row],[Total]]+SamplingData[[#This Row],[Winning Candidate]]-SamplingData[[#This Row],[Candidate 7]])/(SamplingData[[#Totals],[Winning Candidate]]-SamplingData[[#Totals],[Candidate 7]]), 0)</f>
        <v>0</v>
      </c>
      <c r="W29" s="95">
        <f>IF(AND(SamplingData[[#This Row],[Total]]&lt;&gt; 0, NOT(ISBLANK(SamplingData[[#This Row],[Candidate 8]]))),(SamplingData[[#This Row],[Total]]+SamplingData[[#This Row],[Winning Candidate]]-SamplingData[[#This Row],[Candidate 8]])/(SamplingData[[#Totals],[Winning Candidate]]-SamplingData[[#Totals],[Candidate 8]]), 0)</f>
        <v>0</v>
      </c>
      <c r="X29"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29"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29"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29"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29" s="95">
        <f>MAX(SamplingData[[#This Row],[Error Bound (up) - Max. possible relative overstatement - Losing Candidate]:[Error Bound (up) - Max. possible relative overstatement - Candidate 12]])</f>
        <v>8.4566596194503175E-3</v>
      </c>
      <c r="AC29" s="95">
        <f>IF(SamplingData[[#This Row],[Max Error Bound (up)]] = 0,0,SamplingData[[#This Row],[Max Error Bound (up)]]/SamplingData[[#Totals],[Max Error Bound (up)]])</f>
        <v>6.351222610352492E-4</v>
      </c>
      <c r="AD29" s="18">
        <f>SUM($AC$5:AC29)</f>
        <v>8.4947602413464593E-2</v>
      </c>
      <c r="AE29" s="95" t="str">
        <f t="array" ref="AE29">IF(SamplingData[[#This Row],[up/U Selection Probability]] = 0, "Zero", TEXT(SamplingData[[#This Row],[Lower Range]], REPT("0",LEN('General Info'!$B$42))) &amp; " - " &amp; TEXT(SamplingData[[#This Row],[Upper Range]], REPT("0",LEN('General Info'!$B$42))))</f>
        <v>084 - 084</v>
      </c>
      <c r="AF29" s="95">
        <f>SamplingData[[#This Row],[Upper Range]]-SamplingData[[#This Row],[Span]]</f>
        <v>84.312480152429345</v>
      </c>
      <c r="AG29" s="95">
        <f>IF(ISNUMBER('General Info'!$B$42), ((SamplingData[[#This Row],[up/U Selection Probability]]) * 'General Info'!$B$44) - 1, 0)</f>
        <v>-0.36487773896475084</v>
      </c>
      <c r="AH29" s="95">
        <f>IF(ISNUMBER('General Info'!$B$42), (SamplingData[[#This Row],[Running (cumulative) sum]] * ('General Info'!$B$42 -'General Info'!$B$43 + 1)) + 'General Info'!$B$43 - 1, 0)</f>
        <v>83.947602413464594</v>
      </c>
      <c r="AI29" s="95" t="str">
        <f>IF(ISERROR(MATCH(SamplingData[[#This Row],[Batch by Type (p)]],SelectedPrecincts[Batch Name], 0)), "", INDEX(SelectedPrecincts[Draw], MATCH(SamplingData[[#This Row],[Batch by Type (p)]],SelectedPrecincts[Batch Name], 0)))</f>
        <v/>
      </c>
      <c r="AJ29" s="96">
        <f>IF(COUNTIF(SelectedPrecincts[Batch Name],SamplingData[[#This Row],[Batch by Type (p)]]) &lt;&gt; 0, COUNTIF(SelectedPrecincts[Batch Name],SamplingData[[#This Row],[Batch by Type (p)]]), 0)</f>
        <v>0</v>
      </c>
    </row>
    <row r="30" spans="1:36" ht="15" customHeight="1" x14ac:dyDescent="0.35">
      <c r="A30" s="98" t="s">
        <v>241</v>
      </c>
      <c r="B30" s="98">
        <v>13</v>
      </c>
      <c r="C30" s="98">
        <v>16</v>
      </c>
      <c r="D30" s="93"/>
      <c r="E30" s="93"/>
      <c r="F30" s="93"/>
      <c r="G30" s="97"/>
      <c r="H30" s="97"/>
      <c r="I30" s="93"/>
      <c r="J30" s="93"/>
      <c r="K30" s="93"/>
      <c r="L30" s="93"/>
      <c r="M30" s="93"/>
      <c r="N30" s="98">
        <v>0</v>
      </c>
      <c r="O30" s="98">
        <v>1</v>
      </c>
      <c r="P30" s="94">
        <f>SUM(SamplingData[[#This Row],[Winning Candidate]:[Under Votes]])</f>
        <v>30</v>
      </c>
      <c r="Q30" s="95">
        <f>IF(AND(SamplingData[[#This Row],[Total]]&lt;&gt; 0, NOT(ISBLANK(SamplingData[[#This Row],[Losing Candidate]]))),(SamplingData[[#This Row],[Total]]+SamplingData[[#This Row],[Winning Candidate]]-SamplingData[[#This Row],[Losing Candidate]])/(SamplingData[[#Totals],[Winning Candidate]]-SamplingData[[#Totals],[Losing Candidate]]), 0)</f>
        <v>5.7082452431289642E-2</v>
      </c>
      <c r="R30" s="95">
        <f>IF(AND(SamplingData[[#This Row],[Total]]&lt;&gt; 0, NOT(ISBLANK(SamplingData[[#This Row],[Candidate 3]]))),(SamplingData[[#This Row],[Total]]+SamplingData[[#This Row],[Winning Candidate]]-SamplingData[[#This Row],[Candidate 3]])/(SamplingData[[#Totals],[Winning Candidate]]-SamplingData[[#Totals],[Candidate 3]]), 0)</f>
        <v>0</v>
      </c>
      <c r="S30" s="95">
        <f>IF(AND(SamplingData[[#This Row],[Total]]&lt;&gt; 0, NOT(ISBLANK(SamplingData[[#This Row],[Candidate 4]]))),(SamplingData[[#This Row],[Total]]+SamplingData[[#This Row],[Winning Candidate]]-SamplingData[[#This Row],[Candidate 4]])/(SamplingData[[#Totals],[Winning Candidate]]-SamplingData[[#Totals],[Candidate 4]]), 0)</f>
        <v>0</v>
      </c>
      <c r="T30" s="95">
        <f>IF(AND(SamplingData[[#This Row],[Total]]&lt;&gt; 0, NOT(ISBLANK(SamplingData[[#This Row],[Candidate 5]]))),(SamplingData[[#This Row],[Total]]+SamplingData[[#This Row],[Winning Candidate]]-SamplingData[[#This Row],[Candidate 5]])/(SamplingData[[#Totals],[Winning Candidate]]-SamplingData[[#Totals],[Candidate 5]]), 0)</f>
        <v>0</v>
      </c>
      <c r="U30" s="95">
        <f>IF(AND(SamplingData[[#This Row],[Total]]&lt;&gt; 0, NOT(ISBLANK(SamplingData[[#This Row],[Candidate 6]]))),(SamplingData[[#This Row],[Total]]+SamplingData[[#This Row],[Losing Candidate]]-SamplingData[[#This Row],[Candidate 6]])/(SamplingData[[#Totals],[Winning Candidate]]-SamplingData[[#Totals],[Candidate 6]]), 0)</f>
        <v>0</v>
      </c>
      <c r="V30" s="95">
        <f>IF(AND(SamplingData[[#This Row],[Total]]&lt;&gt; 0, NOT(ISBLANK(SamplingData[[#This Row],[Candidate 7]]))),(SamplingData[[#This Row],[Total]]+SamplingData[[#This Row],[Winning Candidate]]-SamplingData[[#This Row],[Candidate 7]])/(SamplingData[[#Totals],[Winning Candidate]]-SamplingData[[#Totals],[Candidate 7]]), 0)</f>
        <v>0</v>
      </c>
      <c r="W30" s="95">
        <f>IF(AND(SamplingData[[#This Row],[Total]]&lt;&gt; 0, NOT(ISBLANK(SamplingData[[#This Row],[Candidate 8]]))),(SamplingData[[#This Row],[Total]]+SamplingData[[#This Row],[Winning Candidate]]-SamplingData[[#This Row],[Candidate 8]])/(SamplingData[[#Totals],[Winning Candidate]]-SamplingData[[#Totals],[Candidate 8]]), 0)</f>
        <v>0</v>
      </c>
      <c r="X30"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0"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0"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0"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0" s="95">
        <f>MAX(SamplingData[[#This Row],[Error Bound (up) - Max. possible relative overstatement - Losing Candidate]:[Error Bound (up) - Max. possible relative overstatement - Candidate 12]])</f>
        <v>5.7082452431289642E-2</v>
      </c>
      <c r="AC30" s="95">
        <f>IF(SamplingData[[#This Row],[Max Error Bound (up)]] = 0,0,SamplingData[[#This Row],[Max Error Bound (up)]]/SamplingData[[#Totals],[Max Error Bound (up)]])</f>
        <v>4.2870752619879318E-3</v>
      </c>
      <c r="AD30" s="18">
        <f>SUM($AC$5:AC30)</f>
        <v>8.9234677675452526E-2</v>
      </c>
      <c r="AE30" s="95" t="str">
        <f t="array" ref="AE30">IF(SamplingData[[#This Row],[up/U Selection Probability]] = 0, "Zero", TEXT(SamplingData[[#This Row],[Lower Range]], REPT("0",LEN('General Info'!$B$42))) &amp; " - " &amp; TEXT(SamplingData[[#This Row],[Upper Range]], REPT("0",LEN('General Info'!$B$42))))</f>
        <v>085 - 088</v>
      </c>
      <c r="AF30" s="95">
        <f>SamplingData[[#This Row],[Upper Range]]-SamplingData[[#This Row],[Span]]</f>
        <v>84.947602413464594</v>
      </c>
      <c r="AG30" s="95">
        <f>IF(ISNUMBER('General Info'!$B$42), ((SamplingData[[#This Row],[up/U Selection Probability]]) * 'General Info'!$B$44) - 1, 0)</f>
        <v>3.2870752619879315</v>
      </c>
      <c r="AH30" s="95">
        <f>IF(ISNUMBER('General Info'!$B$42), (SamplingData[[#This Row],[Running (cumulative) sum]] * ('General Info'!$B$42 -'General Info'!$B$43 + 1)) + 'General Info'!$B$43 - 1, 0)</f>
        <v>88.234677675452531</v>
      </c>
      <c r="AI30" s="95">
        <f>IF(ISERROR(MATCH(SamplingData[[#This Row],[Batch by Type (p)]],SelectedPrecincts[Batch Name], 0)), "", INDEX(SelectedPrecincts[Draw], MATCH(SamplingData[[#This Row],[Batch by Type (p)]],SelectedPrecincts[Batch Name], 0)))</f>
        <v>18</v>
      </c>
      <c r="AJ30" s="96">
        <f>IF(COUNTIF(SelectedPrecincts[Batch Name],SamplingData[[#This Row],[Batch by Type (p)]]) &lt;&gt; 0, COUNTIF(SelectedPrecincts[Batch Name],SamplingData[[#This Row],[Batch by Type (p)]]), 0)</f>
        <v>1</v>
      </c>
    </row>
    <row r="31" spans="1:36" ht="15" customHeight="1" x14ac:dyDescent="0.35">
      <c r="A31" s="98" t="s">
        <v>242</v>
      </c>
      <c r="B31" s="98">
        <v>16</v>
      </c>
      <c r="C31" s="98">
        <v>12</v>
      </c>
      <c r="D31" s="93"/>
      <c r="E31" s="93"/>
      <c r="F31" s="93"/>
      <c r="G31" s="97"/>
      <c r="H31" s="97"/>
      <c r="I31" s="93"/>
      <c r="J31" s="93"/>
      <c r="K31" s="93"/>
      <c r="L31" s="93"/>
      <c r="M31" s="93"/>
      <c r="N31" s="98">
        <v>1</v>
      </c>
      <c r="O31" s="98">
        <v>0</v>
      </c>
      <c r="P31" s="94">
        <f>SUM(SamplingData[[#This Row],[Winning Candidate]:[Under Votes]])</f>
        <v>29</v>
      </c>
      <c r="Q31" s="95">
        <f>IF(AND(SamplingData[[#This Row],[Total]]&lt;&gt; 0, NOT(ISBLANK(SamplingData[[#This Row],[Losing Candidate]]))),(SamplingData[[#This Row],[Total]]+SamplingData[[#This Row],[Winning Candidate]]-SamplingData[[#This Row],[Losing Candidate]])/(SamplingData[[#Totals],[Winning Candidate]]-SamplingData[[#Totals],[Losing Candidate]]), 0)</f>
        <v>6.9767441860465115E-2</v>
      </c>
      <c r="R31" s="95">
        <f>IF(AND(SamplingData[[#This Row],[Total]]&lt;&gt; 0, NOT(ISBLANK(SamplingData[[#This Row],[Candidate 3]]))),(SamplingData[[#This Row],[Total]]+SamplingData[[#This Row],[Winning Candidate]]-SamplingData[[#This Row],[Candidate 3]])/(SamplingData[[#Totals],[Winning Candidate]]-SamplingData[[#Totals],[Candidate 3]]), 0)</f>
        <v>0</v>
      </c>
      <c r="S31" s="95">
        <f>IF(AND(SamplingData[[#This Row],[Total]]&lt;&gt; 0, NOT(ISBLANK(SamplingData[[#This Row],[Candidate 4]]))),(SamplingData[[#This Row],[Total]]+SamplingData[[#This Row],[Winning Candidate]]-SamplingData[[#This Row],[Candidate 4]])/(SamplingData[[#Totals],[Winning Candidate]]-SamplingData[[#Totals],[Candidate 4]]), 0)</f>
        <v>0</v>
      </c>
      <c r="T31" s="95">
        <f>IF(AND(SamplingData[[#This Row],[Total]]&lt;&gt; 0, NOT(ISBLANK(SamplingData[[#This Row],[Candidate 5]]))),(SamplingData[[#This Row],[Total]]+SamplingData[[#This Row],[Winning Candidate]]-SamplingData[[#This Row],[Candidate 5]])/(SamplingData[[#Totals],[Winning Candidate]]-SamplingData[[#Totals],[Candidate 5]]), 0)</f>
        <v>0</v>
      </c>
      <c r="U31" s="95">
        <f>IF(AND(SamplingData[[#This Row],[Total]]&lt;&gt; 0, NOT(ISBLANK(SamplingData[[#This Row],[Candidate 6]]))),(SamplingData[[#This Row],[Total]]+SamplingData[[#This Row],[Losing Candidate]]-SamplingData[[#This Row],[Candidate 6]])/(SamplingData[[#Totals],[Winning Candidate]]-SamplingData[[#Totals],[Candidate 6]]), 0)</f>
        <v>0</v>
      </c>
      <c r="V31" s="95">
        <f>IF(AND(SamplingData[[#This Row],[Total]]&lt;&gt; 0, NOT(ISBLANK(SamplingData[[#This Row],[Candidate 7]]))),(SamplingData[[#This Row],[Total]]+SamplingData[[#This Row],[Winning Candidate]]-SamplingData[[#This Row],[Candidate 7]])/(SamplingData[[#Totals],[Winning Candidate]]-SamplingData[[#Totals],[Candidate 7]]), 0)</f>
        <v>0</v>
      </c>
      <c r="W31" s="95">
        <f>IF(AND(SamplingData[[#This Row],[Total]]&lt;&gt; 0, NOT(ISBLANK(SamplingData[[#This Row],[Candidate 8]]))),(SamplingData[[#This Row],[Total]]+SamplingData[[#This Row],[Winning Candidate]]-SamplingData[[#This Row],[Candidate 8]])/(SamplingData[[#Totals],[Winning Candidate]]-SamplingData[[#Totals],[Candidate 8]]), 0)</f>
        <v>0</v>
      </c>
      <c r="X31"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1"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1"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1"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1" s="95">
        <f>MAX(SamplingData[[#This Row],[Error Bound (up) - Max. possible relative overstatement - Losing Candidate]:[Error Bound (up) - Max. possible relative overstatement - Candidate 12]])</f>
        <v>6.9767441860465115E-2</v>
      </c>
      <c r="AC31" s="95">
        <f>IF(SamplingData[[#This Row],[Max Error Bound (up)]] = 0,0,SamplingData[[#This Row],[Max Error Bound (up)]]/SamplingData[[#Totals],[Max Error Bound (up)]])</f>
        <v>5.2397586535408054E-3</v>
      </c>
      <c r="AD31" s="18">
        <f>SUM($AC$5:AC31)</f>
        <v>9.4474436328993328E-2</v>
      </c>
      <c r="AE31" s="95" t="str">
        <f t="array" ref="AE31">IF(SamplingData[[#This Row],[up/U Selection Probability]] = 0, "Zero", TEXT(SamplingData[[#This Row],[Lower Range]], REPT("0",LEN('General Info'!$B$42))) &amp; " - " &amp; TEXT(SamplingData[[#This Row],[Upper Range]], REPT("0",LEN('General Info'!$B$42))))</f>
        <v>089 - 093</v>
      </c>
      <c r="AF31" s="95">
        <f>SamplingData[[#This Row],[Upper Range]]-SamplingData[[#This Row],[Span]]</f>
        <v>89.234677675452531</v>
      </c>
      <c r="AG31" s="95">
        <f>IF(ISNUMBER('General Info'!$B$42), ((SamplingData[[#This Row],[up/U Selection Probability]]) * 'General Info'!$B$44) - 1, 0)</f>
        <v>4.2397586535408056</v>
      </c>
      <c r="AH31" s="95">
        <f>IF(ISNUMBER('General Info'!$B$42), (SamplingData[[#This Row],[Running (cumulative) sum]] * ('General Info'!$B$42 -'General Info'!$B$43 + 1)) + 'General Info'!$B$43 - 1, 0)</f>
        <v>93.474436328993335</v>
      </c>
      <c r="AI31" s="95" t="str">
        <f>IF(ISERROR(MATCH(SamplingData[[#This Row],[Batch by Type (p)]],SelectedPrecincts[Batch Name], 0)), "", INDEX(SelectedPrecincts[Draw], MATCH(SamplingData[[#This Row],[Batch by Type (p)]],SelectedPrecincts[Batch Name], 0)))</f>
        <v/>
      </c>
      <c r="AJ31" s="96">
        <f>IF(COUNTIF(SelectedPrecincts[Batch Name],SamplingData[[#This Row],[Batch by Type (p)]]) &lt;&gt; 0, COUNTIF(SelectedPrecincts[Batch Name],SamplingData[[#This Row],[Batch by Type (p)]]), 0)</f>
        <v>0</v>
      </c>
    </row>
    <row r="32" spans="1:36" ht="15" customHeight="1" x14ac:dyDescent="0.35">
      <c r="A32" s="98" t="s">
        <v>243</v>
      </c>
      <c r="B32" s="98">
        <v>5</v>
      </c>
      <c r="C32" s="98">
        <v>2</v>
      </c>
      <c r="D32" s="93"/>
      <c r="E32" s="93"/>
      <c r="F32" s="93"/>
      <c r="G32" s="97"/>
      <c r="H32" s="97"/>
      <c r="I32" s="93"/>
      <c r="J32" s="93"/>
      <c r="K32" s="93"/>
      <c r="L32" s="93"/>
      <c r="M32" s="93"/>
      <c r="N32" s="98">
        <v>0</v>
      </c>
      <c r="O32" s="98">
        <v>0</v>
      </c>
      <c r="P32" s="94">
        <f>SUM(SamplingData[[#This Row],[Winning Candidate]:[Under Votes]])</f>
        <v>7</v>
      </c>
      <c r="Q32" s="95">
        <f>IF(AND(SamplingData[[#This Row],[Total]]&lt;&gt; 0, NOT(ISBLANK(SamplingData[[#This Row],[Losing Candidate]]))),(SamplingData[[#This Row],[Total]]+SamplingData[[#This Row],[Winning Candidate]]-SamplingData[[#This Row],[Losing Candidate]])/(SamplingData[[#Totals],[Winning Candidate]]-SamplingData[[#Totals],[Losing Candidate]]), 0)</f>
        <v>2.1141649048625793E-2</v>
      </c>
      <c r="R32" s="95">
        <f>IF(AND(SamplingData[[#This Row],[Total]]&lt;&gt; 0, NOT(ISBLANK(SamplingData[[#This Row],[Candidate 3]]))),(SamplingData[[#This Row],[Total]]+SamplingData[[#This Row],[Winning Candidate]]-SamplingData[[#This Row],[Candidate 3]])/(SamplingData[[#Totals],[Winning Candidate]]-SamplingData[[#Totals],[Candidate 3]]), 0)</f>
        <v>0</v>
      </c>
      <c r="S32" s="95">
        <f>IF(AND(SamplingData[[#This Row],[Total]]&lt;&gt; 0, NOT(ISBLANK(SamplingData[[#This Row],[Candidate 4]]))),(SamplingData[[#This Row],[Total]]+SamplingData[[#This Row],[Winning Candidate]]-SamplingData[[#This Row],[Candidate 4]])/(SamplingData[[#Totals],[Winning Candidate]]-SamplingData[[#Totals],[Candidate 4]]), 0)</f>
        <v>0</v>
      </c>
      <c r="T32" s="95">
        <f>IF(AND(SamplingData[[#This Row],[Total]]&lt;&gt; 0, NOT(ISBLANK(SamplingData[[#This Row],[Candidate 5]]))),(SamplingData[[#This Row],[Total]]+SamplingData[[#This Row],[Winning Candidate]]-SamplingData[[#This Row],[Candidate 5]])/(SamplingData[[#Totals],[Winning Candidate]]-SamplingData[[#Totals],[Candidate 5]]), 0)</f>
        <v>0</v>
      </c>
      <c r="U32" s="95">
        <f>IF(AND(SamplingData[[#This Row],[Total]]&lt;&gt; 0, NOT(ISBLANK(SamplingData[[#This Row],[Candidate 6]]))),(SamplingData[[#This Row],[Total]]+SamplingData[[#This Row],[Losing Candidate]]-SamplingData[[#This Row],[Candidate 6]])/(SamplingData[[#Totals],[Winning Candidate]]-SamplingData[[#Totals],[Candidate 6]]), 0)</f>
        <v>0</v>
      </c>
      <c r="V32" s="95">
        <f>IF(AND(SamplingData[[#This Row],[Total]]&lt;&gt; 0, NOT(ISBLANK(SamplingData[[#This Row],[Candidate 7]]))),(SamplingData[[#This Row],[Total]]+SamplingData[[#This Row],[Winning Candidate]]-SamplingData[[#This Row],[Candidate 7]])/(SamplingData[[#Totals],[Winning Candidate]]-SamplingData[[#Totals],[Candidate 7]]), 0)</f>
        <v>0</v>
      </c>
      <c r="W32" s="95">
        <f>IF(AND(SamplingData[[#This Row],[Total]]&lt;&gt; 0, NOT(ISBLANK(SamplingData[[#This Row],[Candidate 8]]))),(SamplingData[[#This Row],[Total]]+SamplingData[[#This Row],[Winning Candidate]]-SamplingData[[#This Row],[Candidate 8]])/(SamplingData[[#Totals],[Winning Candidate]]-SamplingData[[#Totals],[Candidate 8]]), 0)</f>
        <v>0</v>
      </c>
      <c r="X32" s="95">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2" s="95">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2" s="95">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2" s="95">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2" s="95">
        <f>MAX(SamplingData[[#This Row],[Error Bound (up) - Max. possible relative overstatement - Losing Candidate]:[Error Bound (up) - Max. possible relative overstatement - Candidate 12]])</f>
        <v>2.1141649048625793E-2</v>
      </c>
      <c r="AC32" s="95">
        <f>IF(SamplingData[[#This Row],[Max Error Bound (up)]] = 0,0,SamplingData[[#This Row],[Max Error Bound (up)]]/SamplingData[[#Totals],[Max Error Bound (up)]])</f>
        <v>1.5878056525881229E-3</v>
      </c>
      <c r="AD32" s="18">
        <f>SUM($AC$5:AC32)</f>
        <v>9.6062241981581448E-2</v>
      </c>
      <c r="AE32" s="95" t="str">
        <f t="array" ref="AE32">IF(SamplingData[[#This Row],[up/U Selection Probability]] = 0, "Zero", TEXT(SamplingData[[#This Row],[Lower Range]], REPT("0",LEN('General Info'!$B$42))) &amp; " - " &amp; TEXT(SamplingData[[#This Row],[Upper Range]], REPT("0",LEN('General Info'!$B$42))))</f>
        <v>094 - 095</v>
      </c>
      <c r="AF32" s="95">
        <f>SamplingData[[#This Row],[Upper Range]]-SamplingData[[#This Row],[Span]]</f>
        <v>94.474436328993335</v>
      </c>
      <c r="AG32" s="95">
        <f>IF(ISNUMBER('General Info'!$B$42), ((SamplingData[[#This Row],[up/U Selection Probability]]) * 'General Info'!$B$44) - 1, 0)</f>
        <v>0.58780565258812301</v>
      </c>
      <c r="AH32" s="95">
        <f>IF(ISNUMBER('General Info'!$B$42), (SamplingData[[#This Row],[Running (cumulative) sum]] * ('General Info'!$B$42 -'General Info'!$B$43 + 1)) + 'General Info'!$B$43 - 1, 0)</f>
        <v>95.062241981581451</v>
      </c>
      <c r="AI32" s="95" t="str">
        <f>IF(ISERROR(MATCH(SamplingData[[#This Row],[Batch by Type (p)]],SelectedPrecincts[Batch Name], 0)), "", INDEX(SelectedPrecincts[Draw], MATCH(SamplingData[[#This Row],[Batch by Type (p)]],SelectedPrecincts[Batch Name], 0)))</f>
        <v/>
      </c>
      <c r="AJ32" s="96">
        <f>IF(COUNTIF(SelectedPrecincts[Batch Name],SamplingData[[#This Row],[Batch by Type (p)]]) &lt;&gt; 0, COUNTIF(SelectedPrecincts[Batch Name],SamplingData[[#This Row],[Batch by Type (p)]]), 0)</f>
        <v>0</v>
      </c>
    </row>
    <row r="33" spans="1:36" ht="15" customHeight="1" x14ac:dyDescent="0.35">
      <c r="A33" s="98" t="s">
        <v>244</v>
      </c>
      <c r="B33" s="98">
        <v>2</v>
      </c>
      <c r="C33" s="98">
        <v>5</v>
      </c>
      <c r="D33" s="93"/>
      <c r="E33" s="93"/>
      <c r="F33" s="93"/>
      <c r="G33" s="97"/>
      <c r="H33" s="97"/>
      <c r="I33" s="93"/>
      <c r="J33" s="93"/>
      <c r="K33" s="93"/>
      <c r="L33" s="93"/>
      <c r="M33" s="93"/>
      <c r="N33" s="98">
        <v>0</v>
      </c>
      <c r="O33" s="98">
        <v>0</v>
      </c>
      <c r="P33" s="99">
        <f>SUM(SamplingData[[#This Row],[Winning Candidate]:[Under Votes]])</f>
        <v>7</v>
      </c>
      <c r="Q33" s="100">
        <f>IF(AND(SamplingData[[#This Row],[Total]]&lt;&gt; 0, NOT(ISBLANK(SamplingData[[#This Row],[Losing Candidate]]))),(SamplingData[[#This Row],[Total]]+SamplingData[[#This Row],[Winning Candidate]]-SamplingData[[#This Row],[Losing Candidate]])/(SamplingData[[#Totals],[Winning Candidate]]-SamplingData[[#Totals],[Losing Candidate]]), 0)</f>
        <v>8.4566596194503175E-3</v>
      </c>
      <c r="R33" s="100">
        <f>IF(AND(SamplingData[[#This Row],[Total]]&lt;&gt; 0, NOT(ISBLANK(SamplingData[[#This Row],[Candidate 3]]))),(SamplingData[[#This Row],[Total]]+SamplingData[[#This Row],[Winning Candidate]]-SamplingData[[#This Row],[Candidate 3]])/(SamplingData[[#Totals],[Winning Candidate]]-SamplingData[[#Totals],[Candidate 3]]), 0)</f>
        <v>0</v>
      </c>
      <c r="S33" s="100">
        <f>IF(AND(SamplingData[[#This Row],[Total]]&lt;&gt; 0, NOT(ISBLANK(SamplingData[[#This Row],[Candidate 4]]))),(SamplingData[[#This Row],[Total]]+SamplingData[[#This Row],[Winning Candidate]]-SamplingData[[#This Row],[Candidate 4]])/(SamplingData[[#Totals],[Winning Candidate]]-SamplingData[[#Totals],[Candidate 4]]), 0)</f>
        <v>0</v>
      </c>
      <c r="T33" s="100">
        <f>IF(AND(SamplingData[[#This Row],[Total]]&lt;&gt; 0, NOT(ISBLANK(SamplingData[[#This Row],[Candidate 5]]))),(SamplingData[[#This Row],[Total]]+SamplingData[[#This Row],[Winning Candidate]]-SamplingData[[#This Row],[Candidate 5]])/(SamplingData[[#Totals],[Winning Candidate]]-SamplingData[[#Totals],[Candidate 5]]), 0)</f>
        <v>0</v>
      </c>
      <c r="U33" s="100">
        <f>IF(AND(SamplingData[[#This Row],[Total]]&lt;&gt; 0, NOT(ISBLANK(SamplingData[[#This Row],[Candidate 6]]))),(SamplingData[[#This Row],[Total]]+SamplingData[[#This Row],[Losing Candidate]]-SamplingData[[#This Row],[Candidate 6]])/(SamplingData[[#Totals],[Winning Candidate]]-SamplingData[[#Totals],[Candidate 6]]), 0)</f>
        <v>0</v>
      </c>
      <c r="V33" s="100">
        <f>IF(AND(SamplingData[[#This Row],[Total]]&lt;&gt; 0, NOT(ISBLANK(SamplingData[[#This Row],[Candidate 7]]))),(SamplingData[[#This Row],[Total]]+SamplingData[[#This Row],[Winning Candidate]]-SamplingData[[#This Row],[Candidate 7]])/(SamplingData[[#Totals],[Winning Candidate]]-SamplingData[[#Totals],[Candidate 7]]), 0)</f>
        <v>0</v>
      </c>
      <c r="W33" s="100">
        <f>IF(AND(SamplingData[[#This Row],[Total]]&lt;&gt; 0, NOT(ISBLANK(SamplingData[[#This Row],[Candidate 8]]))),(SamplingData[[#This Row],[Total]]+SamplingData[[#This Row],[Winning Candidate]]-SamplingData[[#This Row],[Candidate 8]])/(SamplingData[[#Totals],[Winning Candidate]]-SamplingData[[#Totals],[Candidate 8]]), 0)</f>
        <v>0</v>
      </c>
      <c r="X3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3" s="100">
        <f>MAX(SamplingData[[#This Row],[Error Bound (up) - Max. possible relative overstatement - Losing Candidate]:[Error Bound (up) - Max. possible relative overstatement - Candidate 12]])</f>
        <v>8.4566596194503175E-3</v>
      </c>
      <c r="AC33" s="100">
        <f>IF(SamplingData[[#This Row],[Max Error Bound (up)]] = 0,0,SamplingData[[#This Row],[Max Error Bound (up)]]/SamplingData[[#Totals],[Max Error Bound (up)]])</f>
        <v>6.351222610352492E-4</v>
      </c>
      <c r="AD33" s="18">
        <f>SUM($AC$5:AC33)</f>
        <v>9.6697364242616698E-2</v>
      </c>
      <c r="AE33" s="100" t="str">
        <f t="array" ref="AE33">IF(SamplingData[[#This Row],[up/U Selection Probability]] = 0, "Zero", TEXT(SamplingData[[#This Row],[Lower Range]], REPT("0",LEN('General Info'!$B$42))) &amp; " - " &amp; TEXT(SamplingData[[#This Row],[Upper Range]], REPT("0",LEN('General Info'!$B$42))))</f>
        <v>096 - 096</v>
      </c>
      <c r="AF33" s="100">
        <f>SamplingData[[#This Row],[Upper Range]]-SamplingData[[#This Row],[Span]]</f>
        <v>96.062241981581451</v>
      </c>
      <c r="AG33" s="100">
        <f>IF(ISNUMBER('General Info'!$B$42), ((SamplingData[[#This Row],[up/U Selection Probability]]) * 'General Info'!$B$44) - 1, 0)</f>
        <v>-0.36487773896475084</v>
      </c>
      <c r="AH33" s="100">
        <f>IF(ISNUMBER('General Info'!$B$42), (SamplingData[[#This Row],[Running (cumulative) sum]] * ('General Info'!$B$42 -'General Info'!$B$43 + 1)) + 'General Info'!$B$43 - 1, 0)</f>
        <v>95.6973642426167</v>
      </c>
      <c r="AI33" s="100" t="str">
        <f>IF(ISERROR(MATCH(SamplingData[[#This Row],[Batch by Type (p)]],SelectedPrecincts[Batch Name], 0)), "", INDEX(SelectedPrecincts[Draw], MATCH(SamplingData[[#This Row],[Batch by Type (p)]],SelectedPrecincts[Batch Name], 0)))</f>
        <v/>
      </c>
      <c r="AJ33" s="101">
        <f>IF(COUNTIF(SelectedPrecincts[Batch Name],SamplingData[[#This Row],[Batch by Type (p)]]) &lt;&gt; 0, COUNTIF(SelectedPrecincts[Batch Name],SamplingData[[#This Row],[Batch by Type (p)]]), 0)</f>
        <v>0</v>
      </c>
    </row>
    <row r="34" spans="1:36" ht="15" customHeight="1" x14ac:dyDescent="0.35">
      <c r="A34" s="98" t="s">
        <v>245</v>
      </c>
      <c r="B34" s="98">
        <v>59</v>
      </c>
      <c r="C34" s="98">
        <v>51</v>
      </c>
      <c r="D34" s="93"/>
      <c r="E34" s="93"/>
      <c r="F34" s="93"/>
      <c r="G34" s="97"/>
      <c r="H34" s="97"/>
      <c r="I34" s="93"/>
      <c r="J34" s="93"/>
      <c r="K34" s="93"/>
      <c r="L34" s="93"/>
      <c r="M34" s="93"/>
      <c r="N34" s="98">
        <v>0</v>
      </c>
      <c r="O34" s="98">
        <v>0</v>
      </c>
      <c r="P34" s="99">
        <f>SUM(SamplingData[[#This Row],[Winning Candidate]:[Under Votes]])</f>
        <v>110</v>
      </c>
      <c r="Q34" s="100">
        <f>IF(AND(SamplingData[[#This Row],[Total]]&lt;&gt; 0, NOT(ISBLANK(SamplingData[[#This Row],[Losing Candidate]]))),(SamplingData[[#This Row],[Total]]+SamplingData[[#This Row],[Winning Candidate]]-SamplingData[[#This Row],[Losing Candidate]])/(SamplingData[[#Totals],[Winning Candidate]]-SamplingData[[#Totals],[Losing Candidate]]), 0)</f>
        <v>0.24947145877378435</v>
      </c>
      <c r="R34" s="100">
        <f>IF(AND(SamplingData[[#This Row],[Total]]&lt;&gt; 0, NOT(ISBLANK(SamplingData[[#This Row],[Candidate 3]]))),(SamplingData[[#This Row],[Total]]+SamplingData[[#This Row],[Winning Candidate]]-SamplingData[[#This Row],[Candidate 3]])/(SamplingData[[#Totals],[Winning Candidate]]-SamplingData[[#Totals],[Candidate 3]]), 0)</f>
        <v>0</v>
      </c>
      <c r="S34" s="100">
        <f>IF(AND(SamplingData[[#This Row],[Total]]&lt;&gt; 0, NOT(ISBLANK(SamplingData[[#This Row],[Candidate 4]]))),(SamplingData[[#This Row],[Total]]+SamplingData[[#This Row],[Winning Candidate]]-SamplingData[[#This Row],[Candidate 4]])/(SamplingData[[#Totals],[Winning Candidate]]-SamplingData[[#Totals],[Candidate 4]]), 0)</f>
        <v>0</v>
      </c>
      <c r="T34" s="100">
        <f>IF(AND(SamplingData[[#This Row],[Total]]&lt;&gt; 0, NOT(ISBLANK(SamplingData[[#This Row],[Candidate 5]]))),(SamplingData[[#This Row],[Total]]+SamplingData[[#This Row],[Winning Candidate]]-SamplingData[[#This Row],[Candidate 5]])/(SamplingData[[#Totals],[Winning Candidate]]-SamplingData[[#Totals],[Candidate 5]]), 0)</f>
        <v>0</v>
      </c>
      <c r="U34" s="100">
        <f>IF(AND(SamplingData[[#This Row],[Total]]&lt;&gt; 0, NOT(ISBLANK(SamplingData[[#This Row],[Candidate 6]]))),(SamplingData[[#This Row],[Total]]+SamplingData[[#This Row],[Losing Candidate]]-SamplingData[[#This Row],[Candidate 6]])/(SamplingData[[#Totals],[Winning Candidate]]-SamplingData[[#Totals],[Candidate 6]]), 0)</f>
        <v>0</v>
      </c>
      <c r="V34" s="100">
        <f>IF(AND(SamplingData[[#This Row],[Total]]&lt;&gt; 0, NOT(ISBLANK(SamplingData[[#This Row],[Candidate 7]]))),(SamplingData[[#This Row],[Total]]+SamplingData[[#This Row],[Winning Candidate]]-SamplingData[[#This Row],[Candidate 7]])/(SamplingData[[#Totals],[Winning Candidate]]-SamplingData[[#Totals],[Candidate 7]]), 0)</f>
        <v>0</v>
      </c>
      <c r="W34" s="100">
        <f>IF(AND(SamplingData[[#This Row],[Total]]&lt;&gt; 0, NOT(ISBLANK(SamplingData[[#This Row],[Candidate 8]]))),(SamplingData[[#This Row],[Total]]+SamplingData[[#This Row],[Winning Candidate]]-SamplingData[[#This Row],[Candidate 8]])/(SamplingData[[#Totals],[Winning Candidate]]-SamplingData[[#Totals],[Candidate 8]]), 0)</f>
        <v>0</v>
      </c>
      <c r="X3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4" s="100">
        <f>MAX(SamplingData[[#This Row],[Error Bound (up) - Max. possible relative overstatement - Losing Candidate]:[Error Bound (up) - Max. possible relative overstatement - Candidate 12]])</f>
        <v>0.24947145877378435</v>
      </c>
      <c r="AC34" s="100">
        <f>IF(SamplingData[[#This Row],[Max Error Bound (up)]] = 0,0,SamplingData[[#This Row],[Max Error Bound (up)]]/SamplingData[[#Totals],[Max Error Bound (up)]])</f>
        <v>1.8736106700539851E-2</v>
      </c>
      <c r="AD34" s="18">
        <f>SUM($AC$5:AC34)</f>
        <v>0.11543347094315655</v>
      </c>
      <c r="AE34" s="100" t="str">
        <f t="array" ref="AE34">IF(SamplingData[[#This Row],[up/U Selection Probability]] = 0, "Zero", TEXT(SamplingData[[#This Row],[Lower Range]], REPT("0",LEN('General Info'!$B$42))) &amp; " - " &amp; TEXT(SamplingData[[#This Row],[Upper Range]], REPT("0",LEN('General Info'!$B$42))))</f>
        <v>097 - 114</v>
      </c>
      <c r="AF34" s="100">
        <f>SamplingData[[#This Row],[Upper Range]]-SamplingData[[#This Row],[Span]]</f>
        <v>96.6973642426167</v>
      </c>
      <c r="AG34" s="100">
        <f>IF(ISNUMBER('General Info'!$B$42), ((SamplingData[[#This Row],[up/U Selection Probability]]) * 'General Info'!$B$44) - 1, 0)</f>
        <v>17.73610670053985</v>
      </c>
      <c r="AH34" s="100">
        <f>IF(ISNUMBER('General Info'!$B$42), (SamplingData[[#This Row],[Running (cumulative) sum]] * ('General Info'!$B$42 -'General Info'!$B$43 + 1)) + 'General Info'!$B$43 - 1, 0)</f>
        <v>114.43347094315655</v>
      </c>
      <c r="AI34" s="100">
        <f>IF(ISERROR(MATCH(SamplingData[[#This Row],[Batch by Type (p)]],SelectedPrecincts[Batch Name], 0)), "", INDEX(SelectedPrecincts[Draw], MATCH(SamplingData[[#This Row],[Batch by Type (p)]],SelectedPrecincts[Batch Name], 0)))</f>
        <v>19</v>
      </c>
      <c r="AJ34" s="101">
        <f>IF(COUNTIF(SelectedPrecincts[Batch Name],SamplingData[[#This Row],[Batch by Type (p)]]) &lt;&gt; 0, COUNTIF(SelectedPrecincts[Batch Name],SamplingData[[#This Row],[Batch by Type (p)]]), 0)</f>
        <v>1</v>
      </c>
    </row>
    <row r="35" spans="1:36" ht="15" customHeight="1" x14ac:dyDescent="0.35">
      <c r="A35" s="98" t="s">
        <v>246</v>
      </c>
      <c r="B35" s="98">
        <v>56</v>
      </c>
      <c r="C35" s="98">
        <v>33</v>
      </c>
      <c r="D35" s="93"/>
      <c r="E35" s="93"/>
      <c r="F35" s="93"/>
      <c r="G35" s="97"/>
      <c r="H35" s="97"/>
      <c r="I35" s="93"/>
      <c r="J35" s="93"/>
      <c r="K35" s="93"/>
      <c r="L35" s="93"/>
      <c r="M35" s="93"/>
      <c r="N35" s="98">
        <v>0</v>
      </c>
      <c r="O35" s="98">
        <v>0</v>
      </c>
      <c r="P35" s="99">
        <f>SUM(SamplingData[[#This Row],[Winning Candidate]:[Under Votes]])</f>
        <v>89</v>
      </c>
      <c r="Q35" s="100">
        <f>IF(AND(SamplingData[[#This Row],[Total]]&lt;&gt; 0, NOT(ISBLANK(SamplingData[[#This Row],[Losing Candidate]]))),(SamplingData[[#This Row],[Total]]+SamplingData[[#This Row],[Winning Candidate]]-SamplingData[[#This Row],[Losing Candidate]])/(SamplingData[[#Totals],[Winning Candidate]]-SamplingData[[#Totals],[Losing Candidate]]), 0)</f>
        <v>0.23678646934460887</v>
      </c>
      <c r="R35" s="100">
        <f>IF(AND(SamplingData[[#This Row],[Total]]&lt;&gt; 0, NOT(ISBLANK(SamplingData[[#This Row],[Candidate 3]]))),(SamplingData[[#This Row],[Total]]+SamplingData[[#This Row],[Winning Candidate]]-SamplingData[[#This Row],[Candidate 3]])/(SamplingData[[#Totals],[Winning Candidate]]-SamplingData[[#Totals],[Candidate 3]]), 0)</f>
        <v>0</v>
      </c>
      <c r="S35" s="100">
        <f>IF(AND(SamplingData[[#This Row],[Total]]&lt;&gt; 0, NOT(ISBLANK(SamplingData[[#This Row],[Candidate 4]]))),(SamplingData[[#This Row],[Total]]+SamplingData[[#This Row],[Winning Candidate]]-SamplingData[[#This Row],[Candidate 4]])/(SamplingData[[#Totals],[Winning Candidate]]-SamplingData[[#Totals],[Candidate 4]]), 0)</f>
        <v>0</v>
      </c>
      <c r="T35" s="100">
        <f>IF(AND(SamplingData[[#This Row],[Total]]&lt;&gt; 0, NOT(ISBLANK(SamplingData[[#This Row],[Candidate 5]]))),(SamplingData[[#This Row],[Total]]+SamplingData[[#This Row],[Winning Candidate]]-SamplingData[[#This Row],[Candidate 5]])/(SamplingData[[#Totals],[Winning Candidate]]-SamplingData[[#Totals],[Candidate 5]]), 0)</f>
        <v>0</v>
      </c>
      <c r="U35" s="100">
        <f>IF(AND(SamplingData[[#This Row],[Total]]&lt;&gt; 0, NOT(ISBLANK(SamplingData[[#This Row],[Candidate 6]]))),(SamplingData[[#This Row],[Total]]+SamplingData[[#This Row],[Losing Candidate]]-SamplingData[[#This Row],[Candidate 6]])/(SamplingData[[#Totals],[Winning Candidate]]-SamplingData[[#Totals],[Candidate 6]]), 0)</f>
        <v>0</v>
      </c>
      <c r="V35" s="100">
        <f>IF(AND(SamplingData[[#This Row],[Total]]&lt;&gt; 0, NOT(ISBLANK(SamplingData[[#This Row],[Candidate 7]]))),(SamplingData[[#This Row],[Total]]+SamplingData[[#This Row],[Winning Candidate]]-SamplingData[[#This Row],[Candidate 7]])/(SamplingData[[#Totals],[Winning Candidate]]-SamplingData[[#Totals],[Candidate 7]]), 0)</f>
        <v>0</v>
      </c>
      <c r="W35" s="100">
        <f>IF(AND(SamplingData[[#This Row],[Total]]&lt;&gt; 0, NOT(ISBLANK(SamplingData[[#This Row],[Candidate 8]]))),(SamplingData[[#This Row],[Total]]+SamplingData[[#This Row],[Winning Candidate]]-SamplingData[[#This Row],[Candidate 8]])/(SamplingData[[#Totals],[Winning Candidate]]-SamplingData[[#Totals],[Candidate 8]]), 0)</f>
        <v>0</v>
      </c>
      <c r="X3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5" s="100">
        <f>MAX(SamplingData[[#This Row],[Error Bound (up) - Max. possible relative overstatement - Losing Candidate]:[Error Bound (up) - Max. possible relative overstatement - Candidate 12]])</f>
        <v>0.23678646934460887</v>
      </c>
      <c r="AC35" s="100">
        <f>IF(SamplingData[[#This Row],[Max Error Bound (up)]] = 0,0,SamplingData[[#This Row],[Max Error Bound (up)]]/SamplingData[[#Totals],[Max Error Bound (up)]])</f>
        <v>1.7783423308986978E-2</v>
      </c>
      <c r="AD35" s="18">
        <f>SUM($AC$5:AC35)</f>
        <v>0.13321689425214353</v>
      </c>
      <c r="AE35" s="100" t="str">
        <f t="array" ref="AE35">IF(SamplingData[[#This Row],[up/U Selection Probability]] = 0, "Zero", TEXT(SamplingData[[#This Row],[Lower Range]], REPT("0",LEN('General Info'!$B$42))) &amp; " - " &amp; TEXT(SamplingData[[#This Row],[Upper Range]], REPT("0",LEN('General Info'!$B$42))))</f>
        <v>115 - 132</v>
      </c>
      <c r="AF35" s="100">
        <f>SamplingData[[#This Row],[Upper Range]]-SamplingData[[#This Row],[Span]]</f>
        <v>115.43347094315655</v>
      </c>
      <c r="AG35" s="100">
        <f>IF(ISNUMBER('General Info'!$B$42), ((SamplingData[[#This Row],[up/U Selection Probability]]) * 'General Info'!$B$44) - 1, 0)</f>
        <v>16.783423308986979</v>
      </c>
      <c r="AH35" s="100">
        <f>IF(ISNUMBER('General Info'!$B$42), (SamplingData[[#This Row],[Running (cumulative) sum]] * ('General Info'!$B$42 -'General Info'!$B$43 + 1)) + 'General Info'!$B$43 - 1, 0)</f>
        <v>132.21689425214353</v>
      </c>
      <c r="AI35" s="100">
        <f>IF(ISERROR(MATCH(SamplingData[[#This Row],[Batch by Type (p)]],SelectedPrecincts[Batch Name], 0)), "", INDEX(SelectedPrecincts[Draw], MATCH(SamplingData[[#This Row],[Batch by Type (p)]],SelectedPrecincts[Batch Name], 0)))</f>
        <v>10</v>
      </c>
      <c r="AJ35" s="101">
        <f>IF(COUNTIF(SelectedPrecincts[Batch Name],SamplingData[[#This Row],[Batch by Type (p)]]) &lt;&gt; 0, COUNTIF(SelectedPrecincts[Batch Name],SamplingData[[#This Row],[Batch by Type (p)]]), 0)</f>
        <v>1</v>
      </c>
    </row>
    <row r="36" spans="1:36" ht="15" customHeight="1" x14ac:dyDescent="0.35">
      <c r="A36" s="98" t="s">
        <v>247</v>
      </c>
      <c r="B36" s="98">
        <v>152</v>
      </c>
      <c r="C36" s="98">
        <v>127</v>
      </c>
      <c r="D36" s="93"/>
      <c r="E36" s="93"/>
      <c r="F36" s="93"/>
      <c r="G36" s="97"/>
      <c r="H36" s="97"/>
      <c r="I36" s="93"/>
      <c r="J36" s="93"/>
      <c r="K36" s="93"/>
      <c r="L36" s="93"/>
      <c r="M36" s="93"/>
      <c r="N36" s="98">
        <v>0</v>
      </c>
      <c r="O36" s="98">
        <v>2</v>
      </c>
      <c r="P36" s="99">
        <f>SUM(SamplingData[[#This Row],[Winning Candidate]:[Under Votes]])</f>
        <v>281</v>
      </c>
      <c r="Q36" s="100">
        <f>IF(AND(SamplingData[[#This Row],[Total]]&lt;&gt; 0, NOT(ISBLANK(SamplingData[[#This Row],[Losing Candidate]]))),(SamplingData[[#This Row],[Total]]+SamplingData[[#This Row],[Winning Candidate]]-SamplingData[[#This Row],[Losing Candidate]])/(SamplingData[[#Totals],[Winning Candidate]]-SamplingData[[#Totals],[Losing Candidate]]), 0)</f>
        <v>0.64693446088794926</v>
      </c>
      <c r="R36" s="100">
        <f>IF(AND(SamplingData[[#This Row],[Total]]&lt;&gt; 0, NOT(ISBLANK(SamplingData[[#This Row],[Candidate 3]]))),(SamplingData[[#This Row],[Total]]+SamplingData[[#This Row],[Winning Candidate]]-SamplingData[[#This Row],[Candidate 3]])/(SamplingData[[#Totals],[Winning Candidate]]-SamplingData[[#Totals],[Candidate 3]]), 0)</f>
        <v>0</v>
      </c>
      <c r="S36" s="100">
        <f>IF(AND(SamplingData[[#This Row],[Total]]&lt;&gt; 0, NOT(ISBLANK(SamplingData[[#This Row],[Candidate 4]]))),(SamplingData[[#This Row],[Total]]+SamplingData[[#This Row],[Winning Candidate]]-SamplingData[[#This Row],[Candidate 4]])/(SamplingData[[#Totals],[Winning Candidate]]-SamplingData[[#Totals],[Candidate 4]]), 0)</f>
        <v>0</v>
      </c>
      <c r="T36" s="100">
        <f>IF(AND(SamplingData[[#This Row],[Total]]&lt;&gt; 0, NOT(ISBLANK(SamplingData[[#This Row],[Candidate 5]]))),(SamplingData[[#This Row],[Total]]+SamplingData[[#This Row],[Winning Candidate]]-SamplingData[[#This Row],[Candidate 5]])/(SamplingData[[#Totals],[Winning Candidate]]-SamplingData[[#Totals],[Candidate 5]]), 0)</f>
        <v>0</v>
      </c>
      <c r="U36" s="100">
        <f>IF(AND(SamplingData[[#This Row],[Total]]&lt;&gt; 0, NOT(ISBLANK(SamplingData[[#This Row],[Candidate 6]]))),(SamplingData[[#This Row],[Total]]+SamplingData[[#This Row],[Losing Candidate]]-SamplingData[[#This Row],[Candidate 6]])/(SamplingData[[#Totals],[Winning Candidate]]-SamplingData[[#Totals],[Candidate 6]]), 0)</f>
        <v>0</v>
      </c>
      <c r="V36" s="100">
        <f>IF(AND(SamplingData[[#This Row],[Total]]&lt;&gt; 0, NOT(ISBLANK(SamplingData[[#This Row],[Candidate 7]]))),(SamplingData[[#This Row],[Total]]+SamplingData[[#This Row],[Winning Candidate]]-SamplingData[[#This Row],[Candidate 7]])/(SamplingData[[#Totals],[Winning Candidate]]-SamplingData[[#Totals],[Candidate 7]]), 0)</f>
        <v>0</v>
      </c>
      <c r="W36" s="100">
        <f>IF(AND(SamplingData[[#This Row],[Total]]&lt;&gt; 0, NOT(ISBLANK(SamplingData[[#This Row],[Candidate 8]]))),(SamplingData[[#This Row],[Total]]+SamplingData[[#This Row],[Winning Candidate]]-SamplingData[[#This Row],[Candidate 8]])/(SamplingData[[#Totals],[Winning Candidate]]-SamplingData[[#Totals],[Candidate 8]]), 0)</f>
        <v>0</v>
      </c>
      <c r="X3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6" s="100">
        <f>MAX(SamplingData[[#This Row],[Error Bound (up) - Max. possible relative overstatement - Losing Candidate]:[Error Bound (up) - Max. possible relative overstatement - Candidate 12]])</f>
        <v>0.64693446088794926</v>
      </c>
      <c r="AC36" s="100">
        <f>IF(SamplingData[[#This Row],[Max Error Bound (up)]] = 0,0,SamplingData[[#This Row],[Max Error Bound (up)]]/SamplingData[[#Totals],[Max Error Bound (up)]])</f>
        <v>4.8586852969196563E-2</v>
      </c>
      <c r="AD36">
        <f>SUM($AC$5:AC36)</f>
        <v>0.1818037472213401</v>
      </c>
      <c r="AE36" s="100" t="str">
        <f t="array" ref="AE36">IF(SamplingData[[#This Row],[up/U Selection Probability]] = 0, "Zero", TEXT(SamplingData[[#This Row],[Lower Range]], REPT("0",LEN('General Info'!$B$42))) &amp; " - " &amp; TEXT(SamplingData[[#This Row],[Upper Range]], REPT("0",LEN('General Info'!$B$42))))</f>
        <v>133 - 181</v>
      </c>
      <c r="AF36" s="100">
        <f>SamplingData[[#This Row],[Upper Range]]-SamplingData[[#This Row],[Span]]</f>
        <v>133.21689425214353</v>
      </c>
      <c r="AG36" s="100">
        <f>IF(ISNUMBER('General Info'!$B$42), ((SamplingData[[#This Row],[up/U Selection Probability]]) * 'General Info'!$B$44) - 1, 0)</f>
        <v>47.586852969196563</v>
      </c>
      <c r="AH36" s="100">
        <f>IF(ISNUMBER('General Info'!$B$42), (SamplingData[[#This Row],[Running (cumulative) sum]] * ('General Info'!$B$42 -'General Info'!$B$43 + 1)) + 'General Info'!$B$43 - 1, 0)</f>
        <v>180.8037472213401</v>
      </c>
      <c r="AI36" s="100">
        <f>IF(ISERROR(MATCH(SamplingData[[#This Row],[Batch by Type (p)]],SelectedPrecincts[Batch Name], 0)), "", INDEX(SelectedPrecincts[Draw], MATCH(SamplingData[[#This Row],[Batch by Type (p)]],SelectedPrecincts[Batch Name], 0)))</f>
        <v>2</v>
      </c>
      <c r="AJ36" s="101">
        <f>IF(COUNTIF(SelectedPrecincts[Batch Name],SamplingData[[#This Row],[Batch by Type (p)]]) &lt;&gt; 0, COUNTIF(SelectedPrecincts[Batch Name],SamplingData[[#This Row],[Batch by Type (p)]]), 0)</f>
        <v>4</v>
      </c>
    </row>
    <row r="37" spans="1:36" ht="15" customHeight="1" x14ac:dyDescent="0.35">
      <c r="A37" s="98" t="s">
        <v>248</v>
      </c>
      <c r="B37" s="98">
        <v>112</v>
      </c>
      <c r="C37" s="98">
        <v>155</v>
      </c>
      <c r="D37" s="93"/>
      <c r="E37" s="93"/>
      <c r="F37" s="93"/>
      <c r="G37" s="97"/>
      <c r="H37" s="97"/>
      <c r="I37" s="93"/>
      <c r="J37" s="93"/>
      <c r="K37" s="93"/>
      <c r="L37" s="93"/>
      <c r="M37" s="93"/>
      <c r="N37" s="98">
        <v>0</v>
      </c>
      <c r="O37" s="98">
        <v>0</v>
      </c>
      <c r="P37" s="99">
        <f>SUM(SamplingData[[#This Row],[Winning Candidate]:[Under Votes]])</f>
        <v>267</v>
      </c>
      <c r="Q37" s="100">
        <f>IF(AND(SamplingData[[#This Row],[Total]]&lt;&gt; 0, NOT(ISBLANK(SamplingData[[#This Row],[Losing Candidate]]))),(SamplingData[[#This Row],[Total]]+SamplingData[[#This Row],[Winning Candidate]]-SamplingData[[#This Row],[Losing Candidate]])/(SamplingData[[#Totals],[Winning Candidate]]-SamplingData[[#Totals],[Losing Candidate]]), 0)</f>
        <v>0.47357293868921774</v>
      </c>
      <c r="R37" s="100">
        <f>IF(AND(SamplingData[[#This Row],[Total]]&lt;&gt; 0, NOT(ISBLANK(SamplingData[[#This Row],[Candidate 3]]))),(SamplingData[[#This Row],[Total]]+SamplingData[[#This Row],[Winning Candidate]]-SamplingData[[#This Row],[Candidate 3]])/(SamplingData[[#Totals],[Winning Candidate]]-SamplingData[[#Totals],[Candidate 3]]), 0)</f>
        <v>0</v>
      </c>
      <c r="S37" s="100">
        <f>IF(AND(SamplingData[[#This Row],[Total]]&lt;&gt; 0, NOT(ISBLANK(SamplingData[[#This Row],[Candidate 4]]))),(SamplingData[[#This Row],[Total]]+SamplingData[[#This Row],[Winning Candidate]]-SamplingData[[#This Row],[Candidate 4]])/(SamplingData[[#Totals],[Winning Candidate]]-SamplingData[[#Totals],[Candidate 4]]), 0)</f>
        <v>0</v>
      </c>
      <c r="T37" s="100">
        <f>IF(AND(SamplingData[[#This Row],[Total]]&lt;&gt; 0, NOT(ISBLANK(SamplingData[[#This Row],[Candidate 5]]))),(SamplingData[[#This Row],[Total]]+SamplingData[[#This Row],[Winning Candidate]]-SamplingData[[#This Row],[Candidate 5]])/(SamplingData[[#Totals],[Winning Candidate]]-SamplingData[[#Totals],[Candidate 5]]), 0)</f>
        <v>0</v>
      </c>
      <c r="U37" s="100">
        <f>IF(AND(SamplingData[[#This Row],[Total]]&lt;&gt; 0, NOT(ISBLANK(SamplingData[[#This Row],[Candidate 6]]))),(SamplingData[[#This Row],[Total]]+SamplingData[[#This Row],[Losing Candidate]]-SamplingData[[#This Row],[Candidate 6]])/(SamplingData[[#Totals],[Winning Candidate]]-SamplingData[[#Totals],[Candidate 6]]), 0)</f>
        <v>0</v>
      </c>
      <c r="V37" s="100">
        <f>IF(AND(SamplingData[[#This Row],[Total]]&lt;&gt; 0, NOT(ISBLANK(SamplingData[[#This Row],[Candidate 7]]))),(SamplingData[[#This Row],[Total]]+SamplingData[[#This Row],[Winning Candidate]]-SamplingData[[#This Row],[Candidate 7]])/(SamplingData[[#Totals],[Winning Candidate]]-SamplingData[[#Totals],[Candidate 7]]), 0)</f>
        <v>0</v>
      </c>
      <c r="W37" s="100">
        <f>IF(AND(SamplingData[[#This Row],[Total]]&lt;&gt; 0, NOT(ISBLANK(SamplingData[[#This Row],[Candidate 8]]))),(SamplingData[[#This Row],[Total]]+SamplingData[[#This Row],[Winning Candidate]]-SamplingData[[#This Row],[Candidate 8]])/(SamplingData[[#Totals],[Winning Candidate]]-SamplingData[[#Totals],[Candidate 8]]), 0)</f>
        <v>0</v>
      </c>
      <c r="X3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7" s="100">
        <f>MAX(SamplingData[[#This Row],[Error Bound (up) - Max. possible relative overstatement - Losing Candidate]:[Error Bound (up) - Max. possible relative overstatement - Candidate 12]])</f>
        <v>0.47357293868921774</v>
      </c>
      <c r="AC37" s="100">
        <f>IF(SamplingData[[#This Row],[Max Error Bound (up)]] = 0,0,SamplingData[[#This Row],[Max Error Bound (up)]]/SamplingData[[#Totals],[Max Error Bound (up)]])</f>
        <v>3.5566846617973956E-2</v>
      </c>
      <c r="AD37" s="104">
        <f>SUM($AC$5:AC37)</f>
        <v>0.21737059383931406</v>
      </c>
      <c r="AE37" s="100" t="str" cm="1">
        <f t="array" ref="AE37">IF(SamplingData[[#This Row],[up/U Selection Probability]] = 0, "Zero", TEXT(SamplingData[[#This Row],[Lower Range]], REPT("0",LEN('General Info'!$B$42))) &amp; " - " &amp; TEXT(SamplingData[[#This Row],[Upper Range]], REPT("0",LEN('General Info'!$B$42))))</f>
        <v>182 - 216</v>
      </c>
      <c r="AF37" s="100">
        <f>SamplingData[[#This Row],[Upper Range]]-SamplingData[[#This Row],[Span]]</f>
        <v>181.8037472213401</v>
      </c>
      <c r="AG37" s="100">
        <f>IF(ISNUMBER('General Info'!$B$42), ((SamplingData[[#This Row],[up/U Selection Probability]]) * 'General Info'!$B$44) - 1, 0)</f>
        <v>34.566846617973958</v>
      </c>
      <c r="AH37" s="100">
        <f>IF(ISNUMBER('General Info'!$B$42), (SamplingData[[#This Row],[Running (cumulative) sum]] * ('General Info'!$B$42 -'General Info'!$B$43 + 1)) + 'General Info'!$B$43 - 1, 0)</f>
        <v>216.37059383931407</v>
      </c>
      <c r="AI37" s="100">
        <f>IF(ISERROR(MATCH(SamplingData[[#This Row],[Batch by Type (p)]],SelectedPrecincts[Batch Name], 0)), "", INDEX(SelectedPrecincts[Draw], MATCH(SamplingData[[#This Row],[Batch by Type (p)]],SelectedPrecincts[Batch Name], 0)))</f>
        <v>5</v>
      </c>
      <c r="AJ37" s="101">
        <f>IF(COUNTIF(SelectedPrecincts[Batch Name],SamplingData[[#This Row],[Batch by Type (p)]]) &lt;&gt; 0, COUNTIF(SelectedPrecincts[Batch Name],SamplingData[[#This Row],[Batch by Type (p)]]), 0)</f>
        <v>1</v>
      </c>
    </row>
    <row r="38" spans="1:36" ht="15" customHeight="1" x14ac:dyDescent="0.35">
      <c r="A38" s="98" t="s">
        <v>249</v>
      </c>
      <c r="B38" s="98">
        <v>96</v>
      </c>
      <c r="C38" s="98">
        <v>143</v>
      </c>
      <c r="D38" s="93"/>
      <c r="E38" s="93"/>
      <c r="F38" s="93"/>
      <c r="G38" s="97"/>
      <c r="H38" s="97"/>
      <c r="I38" s="93"/>
      <c r="J38" s="93"/>
      <c r="K38" s="93"/>
      <c r="L38" s="93"/>
      <c r="M38" s="93"/>
      <c r="N38" s="98">
        <v>0</v>
      </c>
      <c r="O38" s="98">
        <v>0</v>
      </c>
      <c r="P38" s="99">
        <f>SUM(SamplingData[[#This Row],[Winning Candidate]:[Under Votes]])</f>
        <v>239</v>
      </c>
      <c r="Q38" s="100">
        <f>IF(AND(SamplingData[[#This Row],[Total]]&lt;&gt; 0, NOT(ISBLANK(SamplingData[[#This Row],[Losing Candidate]]))),(SamplingData[[#This Row],[Total]]+SamplingData[[#This Row],[Winning Candidate]]-SamplingData[[#This Row],[Losing Candidate]])/(SamplingData[[#Totals],[Winning Candidate]]-SamplingData[[#Totals],[Losing Candidate]]), 0)</f>
        <v>0.40591966173361521</v>
      </c>
      <c r="R38" s="100">
        <f>IF(AND(SamplingData[[#This Row],[Total]]&lt;&gt; 0, NOT(ISBLANK(SamplingData[[#This Row],[Candidate 3]]))),(SamplingData[[#This Row],[Total]]+SamplingData[[#This Row],[Winning Candidate]]-SamplingData[[#This Row],[Candidate 3]])/(SamplingData[[#Totals],[Winning Candidate]]-SamplingData[[#Totals],[Candidate 3]]), 0)</f>
        <v>0</v>
      </c>
      <c r="S38" s="100">
        <f>IF(AND(SamplingData[[#This Row],[Total]]&lt;&gt; 0, NOT(ISBLANK(SamplingData[[#This Row],[Candidate 4]]))),(SamplingData[[#This Row],[Total]]+SamplingData[[#This Row],[Winning Candidate]]-SamplingData[[#This Row],[Candidate 4]])/(SamplingData[[#Totals],[Winning Candidate]]-SamplingData[[#Totals],[Candidate 4]]), 0)</f>
        <v>0</v>
      </c>
      <c r="T38" s="100">
        <f>IF(AND(SamplingData[[#This Row],[Total]]&lt;&gt; 0, NOT(ISBLANK(SamplingData[[#This Row],[Candidate 5]]))),(SamplingData[[#This Row],[Total]]+SamplingData[[#This Row],[Winning Candidate]]-SamplingData[[#This Row],[Candidate 5]])/(SamplingData[[#Totals],[Winning Candidate]]-SamplingData[[#Totals],[Candidate 5]]), 0)</f>
        <v>0</v>
      </c>
      <c r="U38" s="100">
        <f>IF(AND(SamplingData[[#This Row],[Total]]&lt;&gt; 0, NOT(ISBLANK(SamplingData[[#This Row],[Candidate 6]]))),(SamplingData[[#This Row],[Total]]+SamplingData[[#This Row],[Losing Candidate]]-SamplingData[[#This Row],[Candidate 6]])/(SamplingData[[#Totals],[Winning Candidate]]-SamplingData[[#Totals],[Candidate 6]]), 0)</f>
        <v>0</v>
      </c>
      <c r="V38" s="100">
        <f>IF(AND(SamplingData[[#This Row],[Total]]&lt;&gt; 0, NOT(ISBLANK(SamplingData[[#This Row],[Candidate 7]]))),(SamplingData[[#This Row],[Total]]+SamplingData[[#This Row],[Winning Candidate]]-SamplingData[[#This Row],[Candidate 7]])/(SamplingData[[#Totals],[Winning Candidate]]-SamplingData[[#Totals],[Candidate 7]]), 0)</f>
        <v>0</v>
      </c>
      <c r="W38" s="100">
        <f>IF(AND(SamplingData[[#This Row],[Total]]&lt;&gt; 0, NOT(ISBLANK(SamplingData[[#This Row],[Candidate 8]]))),(SamplingData[[#This Row],[Total]]+SamplingData[[#This Row],[Winning Candidate]]-SamplingData[[#This Row],[Candidate 8]])/(SamplingData[[#Totals],[Winning Candidate]]-SamplingData[[#Totals],[Candidate 8]]), 0)</f>
        <v>0</v>
      </c>
      <c r="X3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8" s="100">
        <f>MAX(SamplingData[[#This Row],[Error Bound (up) - Max. possible relative overstatement - Losing Candidate]:[Error Bound (up) - Max. possible relative overstatement - Candidate 12]])</f>
        <v>0.40591966173361521</v>
      </c>
      <c r="AC38" s="100">
        <f>IF(SamplingData[[#This Row],[Max Error Bound (up)]] = 0,0,SamplingData[[#This Row],[Max Error Bound (up)]]/SamplingData[[#Totals],[Max Error Bound (up)]])</f>
        <v>3.048586852969196E-2</v>
      </c>
      <c r="AD38" s="104">
        <f>SUM($AC$5:AC38)</f>
        <v>0.24785646236900602</v>
      </c>
      <c r="AE38" s="100" t="str" cm="1">
        <f t="array" ref="AE38">IF(SamplingData[[#This Row],[up/U Selection Probability]] = 0, "Zero", TEXT(SamplingData[[#This Row],[Lower Range]], REPT("0",LEN('General Info'!$B$42))) &amp; " - " &amp; TEXT(SamplingData[[#This Row],[Upper Range]], REPT("0",LEN('General Info'!$B$42))))</f>
        <v>217 - 247</v>
      </c>
      <c r="AF38" s="100">
        <f>SamplingData[[#This Row],[Upper Range]]-SamplingData[[#This Row],[Span]]</f>
        <v>217.37059383931404</v>
      </c>
      <c r="AG38" s="100">
        <f>IF(ISNUMBER('General Info'!$B$42), ((SamplingData[[#This Row],[up/U Selection Probability]]) * 'General Info'!$B$44) - 1, 0)</f>
        <v>29.48586852969196</v>
      </c>
      <c r="AH38" s="100">
        <f>IF(ISNUMBER('General Info'!$B$42), (SamplingData[[#This Row],[Running (cumulative) sum]] * ('General Info'!$B$42 -'General Info'!$B$43 + 1)) + 'General Info'!$B$43 - 1, 0)</f>
        <v>246.85646236900601</v>
      </c>
      <c r="AI38" s="100">
        <f>IF(ISERROR(MATCH(SamplingData[[#This Row],[Batch by Type (p)]],SelectedPrecincts[Batch Name], 0)), "", INDEX(SelectedPrecincts[Draw], MATCH(SamplingData[[#This Row],[Batch by Type (p)]],SelectedPrecincts[Batch Name], 0)))</f>
        <v>21</v>
      </c>
      <c r="AJ38" s="101">
        <f>IF(COUNTIF(SelectedPrecincts[Batch Name],SamplingData[[#This Row],[Batch by Type (p)]]) &lt;&gt; 0, COUNTIF(SelectedPrecincts[Batch Name],SamplingData[[#This Row],[Batch by Type (p)]]), 0)</f>
        <v>2</v>
      </c>
    </row>
    <row r="39" spans="1:36" ht="15" customHeight="1" x14ac:dyDescent="0.35">
      <c r="A39" s="98" t="s">
        <v>250</v>
      </c>
      <c r="B39" s="98">
        <v>109</v>
      </c>
      <c r="C39" s="98">
        <v>202</v>
      </c>
      <c r="D39" s="93"/>
      <c r="E39" s="93"/>
      <c r="F39" s="93"/>
      <c r="G39" s="97"/>
      <c r="H39" s="97"/>
      <c r="I39" s="93"/>
      <c r="J39" s="93"/>
      <c r="K39" s="93"/>
      <c r="L39" s="93"/>
      <c r="M39" s="93"/>
      <c r="N39" s="98">
        <v>0</v>
      </c>
      <c r="O39" s="98">
        <v>0</v>
      </c>
      <c r="P39" s="99">
        <f>SUM(SamplingData[[#This Row],[Winning Candidate]:[Under Votes]])</f>
        <v>311</v>
      </c>
      <c r="Q39" s="100">
        <f>IF(AND(SamplingData[[#This Row],[Total]]&lt;&gt; 0, NOT(ISBLANK(SamplingData[[#This Row],[Losing Candidate]]))),(SamplingData[[#This Row],[Total]]+SamplingData[[#This Row],[Winning Candidate]]-SamplingData[[#This Row],[Losing Candidate]])/(SamplingData[[#Totals],[Winning Candidate]]-SamplingData[[#Totals],[Losing Candidate]]), 0)</f>
        <v>0.46088794926004228</v>
      </c>
      <c r="R39" s="100">
        <f>IF(AND(SamplingData[[#This Row],[Total]]&lt;&gt; 0, NOT(ISBLANK(SamplingData[[#This Row],[Candidate 3]]))),(SamplingData[[#This Row],[Total]]+SamplingData[[#This Row],[Winning Candidate]]-SamplingData[[#This Row],[Candidate 3]])/(SamplingData[[#Totals],[Winning Candidate]]-SamplingData[[#Totals],[Candidate 3]]), 0)</f>
        <v>0</v>
      </c>
      <c r="S39" s="100">
        <f>IF(AND(SamplingData[[#This Row],[Total]]&lt;&gt; 0, NOT(ISBLANK(SamplingData[[#This Row],[Candidate 4]]))),(SamplingData[[#This Row],[Total]]+SamplingData[[#This Row],[Winning Candidate]]-SamplingData[[#This Row],[Candidate 4]])/(SamplingData[[#Totals],[Winning Candidate]]-SamplingData[[#Totals],[Candidate 4]]), 0)</f>
        <v>0</v>
      </c>
      <c r="T39" s="100">
        <f>IF(AND(SamplingData[[#This Row],[Total]]&lt;&gt; 0, NOT(ISBLANK(SamplingData[[#This Row],[Candidate 5]]))),(SamplingData[[#This Row],[Total]]+SamplingData[[#This Row],[Winning Candidate]]-SamplingData[[#This Row],[Candidate 5]])/(SamplingData[[#Totals],[Winning Candidate]]-SamplingData[[#Totals],[Candidate 5]]), 0)</f>
        <v>0</v>
      </c>
      <c r="U39" s="100">
        <f>IF(AND(SamplingData[[#This Row],[Total]]&lt;&gt; 0, NOT(ISBLANK(SamplingData[[#This Row],[Candidate 6]]))),(SamplingData[[#This Row],[Total]]+SamplingData[[#This Row],[Losing Candidate]]-SamplingData[[#This Row],[Candidate 6]])/(SamplingData[[#Totals],[Winning Candidate]]-SamplingData[[#Totals],[Candidate 6]]), 0)</f>
        <v>0</v>
      </c>
      <c r="V39" s="100">
        <f>IF(AND(SamplingData[[#This Row],[Total]]&lt;&gt; 0, NOT(ISBLANK(SamplingData[[#This Row],[Candidate 7]]))),(SamplingData[[#This Row],[Total]]+SamplingData[[#This Row],[Winning Candidate]]-SamplingData[[#This Row],[Candidate 7]])/(SamplingData[[#Totals],[Winning Candidate]]-SamplingData[[#Totals],[Candidate 7]]), 0)</f>
        <v>0</v>
      </c>
      <c r="W39" s="100">
        <f>IF(AND(SamplingData[[#This Row],[Total]]&lt;&gt; 0, NOT(ISBLANK(SamplingData[[#This Row],[Candidate 8]]))),(SamplingData[[#This Row],[Total]]+SamplingData[[#This Row],[Winning Candidate]]-SamplingData[[#This Row],[Candidate 8]])/(SamplingData[[#Totals],[Winning Candidate]]-SamplingData[[#Totals],[Candidate 8]]), 0)</f>
        <v>0</v>
      </c>
      <c r="X3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3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3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3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39" s="100">
        <f>MAX(SamplingData[[#This Row],[Error Bound (up) - Max. possible relative overstatement - Losing Candidate]:[Error Bound (up) - Max. possible relative overstatement - Candidate 12]])</f>
        <v>0.46088794926004228</v>
      </c>
      <c r="AC39" s="100">
        <f>IF(SamplingData[[#This Row],[Max Error Bound (up)]] = 0,0,SamplingData[[#This Row],[Max Error Bound (up)]]/SamplingData[[#Totals],[Max Error Bound (up)]])</f>
        <v>3.461416322642108E-2</v>
      </c>
      <c r="AD39" s="104">
        <f>SUM($AC$5:AC39)</f>
        <v>0.28247062559542713</v>
      </c>
      <c r="AE39" s="100" t="str" cm="1">
        <f t="array" ref="AE39">IF(SamplingData[[#This Row],[up/U Selection Probability]] = 0, "Zero", TEXT(SamplingData[[#This Row],[Lower Range]], REPT("0",LEN('General Info'!$B$42))) &amp; " - " &amp; TEXT(SamplingData[[#This Row],[Upper Range]], REPT("0",LEN('General Info'!$B$42))))</f>
        <v>248 - 281</v>
      </c>
      <c r="AF39" s="100">
        <f>SamplingData[[#This Row],[Upper Range]]-SamplingData[[#This Row],[Span]]</f>
        <v>247.85646236900604</v>
      </c>
      <c r="AG39" s="100">
        <f>IF(ISNUMBER('General Info'!$B$42), ((SamplingData[[#This Row],[up/U Selection Probability]]) * 'General Info'!$B$44) - 1, 0)</f>
        <v>33.614163226421077</v>
      </c>
      <c r="AH39" s="100">
        <f>IF(ISNUMBER('General Info'!$B$42), (SamplingData[[#This Row],[Running (cumulative) sum]] * ('General Info'!$B$42 -'General Info'!$B$43 + 1)) + 'General Info'!$B$43 - 1, 0)</f>
        <v>281.47062559542712</v>
      </c>
      <c r="AI39" s="100" t="str">
        <f>IF(ISERROR(MATCH(SamplingData[[#This Row],[Batch by Type (p)]],SelectedPrecincts[Batch Name], 0)), "", INDEX(SelectedPrecincts[Draw], MATCH(SamplingData[[#This Row],[Batch by Type (p)]],SelectedPrecincts[Batch Name], 0)))</f>
        <v/>
      </c>
      <c r="AJ39" s="101">
        <f>IF(COUNTIF(SelectedPrecincts[Batch Name],SamplingData[[#This Row],[Batch by Type (p)]]) &lt;&gt; 0, COUNTIF(SelectedPrecincts[Batch Name],SamplingData[[#This Row],[Batch by Type (p)]]), 0)</f>
        <v>0</v>
      </c>
    </row>
    <row r="40" spans="1:36" ht="15" customHeight="1" x14ac:dyDescent="0.35">
      <c r="A40" s="98" t="s">
        <v>251</v>
      </c>
      <c r="B40" s="98">
        <v>166</v>
      </c>
      <c r="C40" s="98">
        <v>214</v>
      </c>
      <c r="D40" s="93"/>
      <c r="E40" s="93"/>
      <c r="F40" s="93"/>
      <c r="G40" s="97"/>
      <c r="H40" s="97"/>
      <c r="I40" s="93"/>
      <c r="J40" s="93"/>
      <c r="K40" s="93"/>
      <c r="L40" s="93"/>
      <c r="M40" s="93"/>
      <c r="N40" s="98">
        <v>0</v>
      </c>
      <c r="O40" s="98">
        <v>3</v>
      </c>
      <c r="P40" s="99">
        <f>SUM(SamplingData[[#This Row],[Winning Candidate]:[Under Votes]])</f>
        <v>383</v>
      </c>
      <c r="Q40" s="100">
        <f>IF(AND(SamplingData[[#This Row],[Total]]&lt;&gt; 0, NOT(ISBLANK(SamplingData[[#This Row],[Losing Candidate]]))),(SamplingData[[#This Row],[Total]]+SamplingData[[#This Row],[Winning Candidate]]-SamplingData[[#This Row],[Losing Candidate]])/(SamplingData[[#Totals],[Winning Candidate]]-SamplingData[[#Totals],[Losing Candidate]]), 0)</f>
        <v>0.70824524312896409</v>
      </c>
      <c r="R40" s="100">
        <f>IF(AND(SamplingData[[#This Row],[Total]]&lt;&gt; 0, NOT(ISBLANK(SamplingData[[#This Row],[Candidate 3]]))),(SamplingData[[#This Row],[Total]]+SamplingData[[#This Row],[Winning Candidate]]-SamplingData[[#This Row],[Candidate 3]])/(SamplingData[[#Totals],[Winning Candidate]]-SamplingData[[#Totals],[Candidate 3]]), 0)</f>
        <v>0</v>
      </c>
      <c r="S40" s="100">
        <f>IF(AND(SamplingData[[#This Row],[Total]]&lt;&gt; 0, NOT(ISBLANK(SamplingData[[#This Row],[Candidate 4]]))),(SamplingData[[#This Row],[Total]]+SamplingData[[#This Row],[Winning Candidate]]-SamplingData[[#This Row],[Candidate 4]])/(SamplingData[[#Totals],[Winning Candidate]]-SamplingData[[#Totals],[Candidate 4]]), 0)</f>
        <v>0</v>
      </c>
      <c r="T40" s="100">
        <f>IF(AND(SamplingData[[#This Row],[Total]]&lt;&gt; 0, NOT(ISBLANK(SamplingData[[#This Row],[Candidate 5]]))),(SamplingData[[#This Row],[Total]]+SamplingData[[#This Row],[Winning Candidate]]-SamplingData[[#This Row],[Candidate 5]])/(SamplingData[[#Totals],[Winning Candidate]]-SamplingData[[#Totals],[Candidate 5]]), 0)</f>
        <v>0</v>
      </c>
      <c r="U40" s="100">
        <f>IF(AND(SamplingData[[#This Row],[Total]]&lt;&gt; 0, NOT(ISBLANK(SamplingData[[#This Row],[Candidate 6]]))),(SamplingData[[#This Row],[Total]]+SamplingData[[#This Row],[Losing Candidate]]-SamplingData[[#This Row],[Candidate 6]])/(SamplingData[[#Totals],[Winning Candidate]]-SamplingData[[#Totals],[Candidate 6]]), 0)</f>
        <v>0</v>
      </c>
      <c r="V40" s="100">
        <f>IF(AND(SamplingData[[#This Row],[Total]]&lt;&gt; 0, NOT(ISBLANK(SamplingData[[#This Row],[Candidate 7]]))),(SamplingData[[#This Row],[Total]]+SamplingData[[#This Row],[Winning Candidate]]-SamplingData[[#This Row],[Candidate 7]])/(SamplingData[[#Totals],[Winning Candidate]]-SamplingData[[#Totals],[Candidate 7]]), 0)</f>
        <v>0</v>
      </c>
      <c r="W40" s="100">
        <f>IF(AND(SamplingData[[#This Row],[Total]]&lt;&gt; 0, NOT(ISBLANK(SamplingData[[#This Row],[Candidate 8]]))),(SamplingData[[#This Row],[Total]]+SamplingData[[#This Row],[Winning Candidate]]-SamplingData[[#This Row],[Candidate 8]])/(SamplingData[[#Totals],[Winning Candidate]]-SamplingData[[#Totals],[Candidate 8]]), 0)</f>
        <v>0</v>
      </c>
      <c r="X4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0" s="100">
        <f>MAX(SamplingData[[#This Row],[Error Bound (up) - Max. possible relative overstatement - Losing Candidate]:[Error Bound (up) - Max. possible relative overstatement - Candidate 12]])</f>
        <v>0.70824524312896409</v>
      </c>
      <c r="AC40" s="100">
        <f>IF(SamplingData[[#This Row],[Max Error Bound (up)]] = 0,0,SamplingData[[#This Row],[Max Error Bound (up)]]/SamplingData[[#Totals],[Max Error Bound (up)]])</f>
        <v>5.3191489361702121E-2</v>
      </c>
      <c r="AD40" s="104">
        <f>SUM($AC$5:AC40)</f>
        <v>0.33566211495712928</v>
      </c>
      <c r="AE40" s="100" t="str" cm="1">
        <f t="array" ref="AE40">IF(SamplingData[[#This Row],[up/U Selection Probability]] = 0, "Zero", TEXT(SamplingData[[#This Row],[Lower Range]], REPT("0",LEN('General Info'!$B$42))) &amp; " - " &amp; TEXT(SamplingData[[#This Row],[Upper Range]], REPT("0",LEN('General Info'!$B$42))))</f>
        <v>282 - 335</v>
      </c>
      <c r="AF40" s="100">
        <f>SamplingData[[#This Row],[Upper Range]]-SamplingData[[#This Row],[Span]]</f>
        <v>282.47062559542718</v>
      </c>
      <c r="AG40" s="100">
        <f>IF(ISNUMBER('General Info'!$B$42), ((SamplingData[[#This Row],[up/U Selection Probability]]) * 'General Info'!$B$44) - 1, 0)</f>
        <v>52.191489361702118</v>
      </c>
      <c r="AH40" s="100">
        <f>IF(ISNUMBER('General Info'!$B$42), (SamplingData[[#This Row],[Running (cumulative) sum]] * ('General Info'!$B$42 -'General Info'!$B$43 + 1)) + 'General Info'!$B$43 - 1, 0)</f>
        <v>334.66211495712929</v>
      </c>
      <c r="AI40" s="100">
        <f>IF(ISERROR(MATCH(SamplingData[[#This Row],[Batch by Type (p)]],SelectedPrecincts[Batch Name], 0)), "", INDEX(SelectedPrecincts[Draw], MATCH(SamplingData[[#This Row],[Batch by Type (p)]],SelectedPrecincts[Batch Name], 0)))</f>
        <v>17</v>
      </c>
      <c r="AJ40" s="101">
        <f>IF(COUNTIF(SelectedPrecincts[Batch Name],SamplingData[[#This Row],[Batch by Type (p)]]) &lt;&gt; 0, COUNTIF(SelectedPrecincts[Batch Name],SamplingData[[#This Row],[Batch by Type (p)]]), 0)</f>
        <v>1</v>
      </c>
    </row>
    <row r="41" spans="1:36" ht="15" customHeight="1" x14ac:dyDescent="0.35">
      <c r="A41" s="98" t="s">
        <v>252</v>
      </c>
      <c r="B41" s="98">
        <v>152</v>
      </c>
      <c r="C41" s="98">
        <v>48</v>
      </c>
      <c r="D41" s="93"/>
      <c r="E41" s="93"/>
      <c r="F41" s="93"/>
      <c r="G41" s="97"/>
      <c r="H41" s="97"/>
      <c r="I41" s="93"/>
      <c r="J41" s="93"/>
      <c r="K41" s="93"/>
      <c r="L41" s="93"/>
      <c r="M41" s="93"/>
      <c r="N41" s="98">
        <v>0</v>
      </c>
      <c r="O41" s="98">
        <v>1</v>
      </c>
      <c r="P41" s="99">
        <f>SUM(SamplingData[[#This Row],[Winning Candidate]:[Under Votes]])</f>
        <v>201</v>
      </c>
      <c r="Q41" s="100">
        <f>IF(AND(SamplingData[[#This Row],[Total]]&lt;&gt; 0, NOT(ISBLANK(SamplingData[[#This Row],[Losing Candidate]]))),(SamplingData[[#This Row],[Total]]+SamplingData[[#This Row],[Winning Candidate]]-SamplingData[[#This Row],[Losing Candidate]])/(SamplingData[[#Totals],[Winning Candidate]]-SamplingData[[#Totals],[Losing Candidate]]), 0)</f>
        <v>0.64482029598308666</v>
      </c>
      <c r="R41" s="100">
        <f>IF(AND(SamplingData[[#This Row],[Total]]&lt;&gt; 0, NOT(ISBLANK(SamplingData[[#This Row],[Candidate 3]]))),(SamplingData[[#This Row],[Total]]+SamplingData[[#This Row],[Winning Candidate]]-SamplingData[[#This Row],[Candidate 3]])/(SamplingData[[#Totals],[Winning Candidate]]-SamplingData[[#Totals],[Candidate 3]]), 0)</f>
        <v>0</v>
      </c>
      <c r="S41" s="100">
        <f>IF(AND(SamplingData[[#This Row],[Total]]&lt;&gt; 0, NOT(ISBLANK(SamplingData[[#This Row],[Candidate 4]]))),(SamplingData[[#This Row],[Total]]+SamplingData[[#This Row],[Winning Candidate]]-SamplingData[[#This Row],[Candidate 4]])/(SamplingData[[#Totals],[Winning Candidate]]-SamplingData[[#Totals],[Candidate 4]]), 0)</f>
        <v>0</v>
      </c>
      <c r="T41" s="100">
        <f>IF(AND(SamplingData[[#This Row],[Total]]&lt;&gt; 0, NOT(ISBLANK(SamplingData[[#This Row],[Candidate 5]]))),(SamplingData[[#This Row],[Total]]+SamplingData[[#This Row],[Winning Candidate]]-SamplingData[[#This Row],[Candidate 5]])/(SamplingData[[#Totals],[Winning Candidate]]-SamplingData[[#Totals],[Candidate 5]]), 0)</f>
        <v>0</v>
      </c>
      <c r="U41" s="100">
        <f>IF(AND(SamplingData[[#This Row],[Total]]&lt;&gt; 0, NOT(ISBLANK(SamplingData[[#This Row],[Candidate 6]]))),(SamplingData[[#This Row],[Total]]+SamplingData[[#This Row],[Losing Candidate]]-SamplingData[[#This Row],[Candidate 6]])/(SamplingData[[#Totals],[Winning Candidate]]-SamplingData[[#Totals],[Candidate 6]]), 0)</f>
        <v>0</v>
      </c>
      <c r="V41" s="100">
        <f>IF(AND(SamplingData[[#This Row],[Total]]&lt;&gt; 0, NOT(ISBLANK(SamplingData[[#This Row],[Candidate 7]]))),(SamplingData[[#This Row],[Total]]+SamplingData[[#This Row],[Winning Candidate]]-SamplingData[[#This Row],[Candidate 7]])/(SamplingData[[#Totals],[Winning Candidate]]-SamplingData[[#Totals],[Candidate 7]]), 0)</f>
        <v>0</v>
      </c>
      <c r="W41" s="100">
        <f>IF(AND(SamplingData[[#This Row],[Total]]&lt;&gt; 0, NOT(ISBLANK(SamplingData[[#This Row],[Candidate 8]]))),(SamplingData[[#This Row],[Total]]+SamplingData[[#This Row],[Winning Candidate]]-SamplingData[[#This Row],[Candidate 8]])/(SamplingData[[#Totals],[Winning Candidate]]-SamplingData[[#Totals],[Candidate 8]]), 0)</f>
        <v>0</v>
      </c>
      <c r="X4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1" s="100">
        <f>MAX(SamplingData[[#This Row],[Error Bound (up) - Max. possible relative overstatement - Losing Candidate]:[Error Bound (up) - Max. possible relative overstatement - Candidate 12]])</f>
        <v>0.64482029598308666</v>
      </c>
      <c r="AC41" s="100">
        <f>IF(SamplingData[[#This Row],[Max Error Bound (up)]] = 0,0,SamplingData[[#This Row],[Max Error Bound (up)]]/SamplingData[[#Totals],[Max Error Bound (up)]])</f>
        <v>4.8428072403937747E-2</v>
      </c>
      <c r="AD41" s="104">
        <f>SUM($AC$5:AC41)</f>
        <v>0.38409018736106704</v>
      </c>
      <c r="AE41" s="100" t="str" cm="1">
        <f t="array" ref="AE41">IF(SamplingData[[#This Row],[up/U Selection Probability]] = 0, "Zero", TEXT(SamplingData[[#This Row],[Lower Range]], REPT("0",LEN('General Info'!$B$42))) &amp; " - " &amp; TEXT(SamplingData[[#This Row],[Upper Range]], REPT("0",LEN('General Info'!$B$42))))</f>
        <v>336 - 383</v>
      </c>
      <c r="AF41" s="100">
        <f>SamplingData[[#This Row],[Upper Range]]-SamplingData[[#This Row],[Span]]</f>
        <v>335.66211495712929</v>
      </c>
      <c r="AG41" s="100">
        <f>IF(ISNUMBER('General Info'!$B$42), ((SamplingData[[#This Row],[up/U Selection Probability]]) * 'General Info'!$B$44) - 1, 0)</f>
        <v>47.428072403937747</v>
      </c>
      <c r="AH41" s="100">
        <f>IF(ISNUMBER('General Info'!$B$42), (SamplingData[[#This Row],[Running (cumulative) sum]] * ('General Info'!$B$42 -'General Info'!$B$43 + 1)) + 'General Info'!$B$43 - 1, 0)</f>
        <v>383.09018736106702</v>
      </c>
      <c r="AI41" s="100">
        <f>IF(ISERROR(MATCH(SamplingData[[#This Row],[Batch by Type (p)]],SelectedPrecincts[Batch Name], 0)), "", INDEX(SelectedPrecincts[Draw], MATCH(SamplingData[[#This Row],[Batch by Type (p)]],SelectedPrecincts[Batch Name], 0)))</f>
        <v>22</v>
      </c>
      <c r="AJ41" s="101">
        <f>IF(COUNTIF(SelectedPrecincts[Batch Name],SamplingData[[#This Row],[Batch by Type (p)]]) &lt;&gt; 0, COUNTIF(SelectedPrecincts[Batch Name],SamplingData[[#This Row],[Batch by Type (p)]]), 0)</f>
        <v>1</v>
      </c>
    </row>
    <row r="42" spans="1:36" ht="15" customHeight="1" x14ac:dyDescent="0.35">
      <c r="A42" s="98" t="s">
        <v>253</v>
      </c>
      <c r="B42" s="98">
        <v>135</v>
      </c>
      <c r="C42" s="98">
        <v>55</v>
      </c>
      <c r="D42" s="93"/>
      <c r="E42" s="93"/>
      <c r="F42" s="93"/>
      <c r="G42" s="97"/>
      <c r="H42" s="97"/>
      <c r="I42" s="93"/>
      <c r="J42" s="93"/>
      <c r="K42" s="93"/>
      <c r="L42" s="93"/>
      <c r="M42" s="93"/>
      <c r="N42" s="98">
        <v>0</v>
      </c>
      <c r="O42" s="98">
        <v>0</v>
      </c>
      <c r="P42" s="99">
        <f>SUM(SamplingData[[#This Row],[Winning Candidate]:[Under Votes]])</f>
        <v>190</v>
      </c>
      <c r="Q42" s="100">
        <f>IF(AND(SamplingData[[#This Row],[Total]]&lt;&gt; 0, NOT(ISBLANK(SamplingData[[#This Row],[Losing Candidate]]))),(SamplingData[[#This Row],[Total]]+SamplingData[[#This Row],[Winning Candidate]]-SamplingData[[#This Row],[Losing Candidate]])/(SamplingData[[#Totals],[Winning Candidate]]-SamplingData[[#Totals],[Losing Candidate]]), 0)</f>
        <v>0.57082452431289643</v>
      </c>
      <c r="R42" s="100">
        <f>IF(AND(SamplingData[[#This Row],[Total]]&lt;&gt; 0, NOT(ISBLANK(SamplingData[[#This Row],[Candidate 3]]))),(SamplingData[[#This Row],[Total]]+SamplingData[[#This Row],[Winning Candidate]]-SamplingData[[#This Row],[Candidate 3]])/(SamplingData[[#Totals],[Winning Candidate]]-SamplingData[[#Totals],[Candidate 3]]), 0)</f>
        <v>0</v>
      </c>
      <c r="S42" s="100">
        <f>IF(AND(SamplingData[[#This Row],[Total]]&lt;&gt; 0, NOT(ISBLANK(SamplingData[[#This Row],[Candidate 4]]))),(SamplingData[[#This Row],[Total]]+SamplingData[[#This Row],[Winning Candidate]]-SamplingData[[#This Row],[Candidate 4]])/(SamplingData[[#Totals],[Winning Candidate]]-SamplingData[[#Totals],[Candidate 4]]), 0)</f>
        <v>0</v>
      </c>
      <c r="T42" s="100">
        <f>IF(AND(SamplingData[[#This Row],[Total]]&lt;&gt; 0, NOT(ISBLANK(SamplingData[[#This Row],[Candidate 5]]))),(SamplingData[[#This Row],[Total]]+SamplingData[[#This Row],[Winning Candidate]]-SamplingData[[#This Row],[Candidate 5]])/(SamplingData[[#Totals],[Winning Candidate]]-SamplingData[[#Totals],[Candidate 5]]), 0)</f>
        <v>0</v>
      </c>
      <c r="U42" s="100">
        <f>IF(AND(SamplingData[[#This Row],[Total]]&lt;&gt; 0, NOT(ISBLANK(SamplingData[[#This Row],[Candidate 6]]))),(SamplingData[[#This Row],[Total]]+SamplingData[[#This Row],[Losing Candidate]]-SamplingData[[#This Row],[Candidate 6]])/(SamplingData[[#Totals],[Winning Candidate]]-SamplingData[[#Totals],[Candidate 6]]), 0)</f>
        <v>0</v>
      </c>
      <c r="V42" s="100">
        <f>IF(AND(SamplingData[[#This Row],[Total]]&lt;&gt; 0, NOT(ISBLANK(SamplingData[[#This Row],[Candidate 7]]))),(SamplingData[[#This Row],[Total]]+SamplingData[[#This Row],[Winning Candidate]]-SamplingData[[#This Row],[Candidate 7]])/(SamplingData[[#Totals],[Winning Candidate]]-SamplingData[[#Totals],[Candidate 7]]), 0)</f>
        <v>0</v>
      </c>
      <c r="W42" s="100">
        <f>IF(AND(SamplingData[[#This Row],[Total]]&lt;&gt; 0, NOT(ISBLANK(SamplingData[[#This Row],[Candidate 8]]))),(SamplingData[[#This Row],[Total]]+SamplingData[[#This Row],[Winning Candidate]]-SamplingData[[#This Row],[Candidate 8]])/(SamplingData[[#Totals],[Winning Candidate]]-SamplingData[[#Totals],[Candidate 8]]), 0)</f>
        <v>0</v>
      </c>
      <c r="X4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2" s="100">
        <f>MAX(SamplingData[[#This Row],[Error Bound (up) - Max. possible relative overstatement - Losing Candidate]:[Error Bound (up) - Max. possible relative overstatement - Candidate 12]])</f>
        <v>0.57082452431289643</v>
      </c>
      <c r="AC42" s="100">
        <f>IF(SamplingData[[#This Row],[Max Error Bound (up)]] = 0,0,SamplingData[[#This Row],[Max Error Bound (up)]]/SamplingData[[#Totals],[Max Error Bound (up)]])</f>
        <v>4.287075261987932E-2</v>
      </c>
      <c r="AD42" s="104">
        <f>SUM($AC$5:AC42)</f>
        <v>0.42696093998094636</v>
      </c>
      <c r="AE42" s="100" t="str" cm="1">
        <f t="array" ref="AE42">IF(SamplingData[[#This Row],[up/U Selection Probability]] = 0, "Zero", TEXT(SamplingData[[#This Row],[Lower Range]], REPT("0",LEN('General Info'!$B$42))) &amp; " - " &amp; TEXT(SamplingData[[#This Row],[Upper Range]], REPT("0",LEN('General Info'!$B$42))))</f>
        <v>384 - 426</v>
      </c>
      <c r="AF42" s="100">
        <f>SamplingData[[#This Row],[Upper Range]]-SamplingData[[#This Row],[Span]]</f>
        <v>384.09018736106702</v>
      </c>
      <c r="AG42" s="100">
        <f>IF(ISNUMBER('General Info'!$B$42), ((SamplingData[[#This Row],[up/U Selection Probability]]) * 'General Info'!$B$44) - 1, 0)</f>
        <v>41.870752619879319</v>
      </c>
      <c r="AH42" s="100">
        <f>IF(ISNUMBER('General Info'!$B$42), (SamplingData[[#This Row],[Running (cumulative) sum]] * ('General Info'!$B$42 -'General Info'!$B$43 + 1)) + 'General Info'!$B$43 - 1, 0)</f>
        <v>425.96093998094636</v>
      </c>
      <c r="AI42" s="100">
        <f>IF(ISERROR(MATCH(SamplingData[[#This Row],[Batch by Type (p)]],SelectedPrecincts[Batch Name], 0)), "", INDEX(SelectedPrecincts[Draw], MATCH(SamplingData[[#This Row],[Batch by Type (p)]],SelectedPrecincts[Batch Name], 0)))</f>
        <v>7</v>
      </c>
      <c r="AJ42" s="101">
        <f>IF(COUNTIF(SelectedPrecincts[Batch Name],SamplingData[[#This Row],[Batch by Type (p)]]) &lt;&gt; 0, COUNTIF(SelectedPrecincts[Batch Name],SamplingData[[#This Row],[Batch by Type (p)]]), 0)</f>
        <v>3</v>
      </c>
    </row>
    <row r="43" spans="1:36" ht="15" customHeight="1" x14ac:dyDescent="0.35">
      <c r="A43" s="98" t="s">
        <v>254</v>
      </c>
      <c r="B43" s="98">
        <v>90</v>
      </c>
      <c r="C43" s="98">
        <v>23</v>
      </c>
      <c r="D43" s="93"/>
      <c r="E43" s="93"/>
      <c r="F43" s="93"/>
      <c r="G43" s="97"/>
      <c r="H43" s="97"/>
      <c r="I43" s="93"/>
      <c r="J43" s="93"/>
      <c r="K43" s="93"/>
      <c r="L43" s="93"/>
      <c r="M43" s="93"/>
      <c r="N43" s="98">
        <v>0</v>
      </c>
      <c r="O43" s="98">
        <v>0</v>
      </c>
      <c r="P43" s="99">
        <f>SUM(SamplingData[[#This Row],[Winning Candidate]:[Under Votes]])</f>
        <v>113</v>
      </c>
      <c r="Q43" s="100">
        <f>IF(AND(SamplingData[[#This Row],[Total]]&lt;&gt; 0, NOT(ISBLANK(SamplingData[[#This Row],[Losing Candidate]]))),(SamplingData[[#This Row],[Total]]+SamplingData[[#This Row],[Winning Candidate]]-SamplingData[[#This Row],[Losing Candidate]])/(SamplingData[[#Totals],[Winning Candidate]]-SamplingData[[#Totals],[Losing Candidate]]), 0)</f>
        <v>0.38054968287526425</v>
      </c>
      <c r="R43" s="100">
        <f>IF(AND(SamplingData[[#This Row],[Total]]&lt;&gt; 0, NOT(ISBLANK(SamplingData[[#This Row],[Candidate 3]]))),(SamplingData[[#This Row],[Total]]+SamplingData[[#This Row],[Winning Candidate]]-SamplingData[[#This Row],[Candidate 3]])/(SamplingData[[#Totals],[Winning Candidate]]-SamplingData[[#Totals],[Candidate 3]]), 0)</f>
        <v>0</v>
      </c>
      <c r="S43" s="100">
        <f>IF(AND(SamplingData[[#This Row],[Total]]&lt;&gt; 0, NOT(ISBLANK(SamplingData[[#This Row],[Candidate 4]]))),(SamplingData[[#This Row],[Total]]+SamplingData[[#This Row],[Winning Candidate]]-SamplingData[[#This Row],[Candidate 4]])/(SamplingData[[#Totals],[Winning Candidate]]-SamplingData[[#Totals],[Candidate 4]]), 0)</f>
        <v>0</v>
      </c>
      <c r="T43" s="100">
        <f>IF(AND(SamplingData[[#This Row],[Total]]&lt;&gt; 0, NOT(ISBLANK(SamplingData[[#This Row],[Candidate 5]]))),(SamplingData[[#This Row],[Total]]+SamplingData[[#This Row],[Winning Candidate]]-SamplingData[[#This Row],[Candidate 5]])/(SamplingData[[#Totals],[Winning Candidate]]-SamplingData[[#Totals],[Candidate 5]]), 0)</f>
        <v>0</v>
      </c>
      <c r="U43" s="100">
        <f>IF(AND(SamplingData[[#This Row],[Total]]&lt;&gt; 0, NOT(ISBLANK(SamplingData[[#This Row],[Candidate 6]]))),(SamplingData[[#This Row],[Total]]+SamplingData[[#This Row],[Losing Candidate]]-SamplingData[[#This Row],[Candidate 6]])/(SamplingData[[#Totals],[Winning Candidate]]-SamplingData[[#Totals],[Candidate 6]]), 0)</f>
        <v>0</v>
      </c>
      <c r="V43" s="100">
        <f>IF(AND(SamplingData[[#This Row],[Total]]&lt;&gt; 0, NOT(ISBLANK(SamplingData[[#This Row],[Candidate 7]]))),(SamplingData[[#This Row],[Total]]+SamplingData[[#This Row],[Winning Candidate]]-SamplingData[[#This Row],[Candidate 7]])/(SamplingData[[#Totals],[Winning Candidate]]-SamplingData[[#Totals],[Candidate 7]]), 0)</f>
        <v>0</v>
      </c>
      <c r="W43" s="100">
        <f>IF(AND(SamplingData[[#This Row],[Total]]&lt;&gt; 0, NOT(ISBLANK(SamplingData[[#This Row],[Candidate 8]]))),(SamplingData[[#This Row],[Total]]+SamplingData[[#This Row],[Winning Candidate]]-SamplingData[[#This Row],[Candidate 8]])/(SamplingData[[#Totals],[Winning Candidate]]-SamplingData[[#Totals],[Candidate 8]]), 0)</f>
        <v>0</v>
      </c>
      <c r="X4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3" s="100">
        <f>MAX(SamplingData[[#This Row],[Error Bound (up) - Max. possible relative overstatement - Losing Candidate]:[Error Bound (up) - Max. possible relative overstatement - Candidate 12]])</f>
        <v>0.38054968287526425</v>
      </c>
      <c r="AC43" s="100">
        <f>IF(SamplingData[[#This Row],[Max Error Bound (up)]] = 0,0,SamplingData[[#This Row],[Max Error Bound (up)]]/SamplingData[[#Totals],[Max Error Bound (up)]])</f>
        <v>2.8580501746586211E-2</v>
      </c>
      <c r="AD43" s="104">
        <f>SUM($AC$5:AC43)</f>
        <v>0.45554144172753258</v>
      </c>
      <c r="AE43" s="100" t="str" cm="1">
        <f t="array" ref="AE43">IF(SamplingData[[#This Row],[up/U Selection Probability]] = 0, "Zero", TEXT(SamplingData[[#This Row],[Lower Range]], REPT("0",LEN('General Info'!$B$42))) &amp; " - " &amp; TEXT(SamplingData[[#This Row],[Upper Range]], REPT("0",LEN('General Info'!$B$42))))</f>
        <v>427 - 455</v>
      </c>
      <c r="AF43" s="100">
        <f>SamplingData[[#This Row],[Upper Range]]-SamplingData[[#This Row],[Span]]</f>
        <v>426.96093998094636</v>
      </c>
      <c r="AG43" s="100">
        <f>IF(ISNUMBER('General Info'!$B$42), ((SamplingData[[#This Row],[up/U Selection Probability]]) * 'General Info'!$B$44) - 1, 0)</f>
        <v>27.580501746586211</v>
      </c>
      <c r="AH43" s="100">
        <f>IF(ISNUMBER('General Info'!$B$42), (SamplingData[[#This Row],[Running (cumulative) sum]] * ('General Info'!$B$42 -'General Info'!$B$43 + 1)) + 'General Info'!$B$43 - 1, 0)</f>
        <v>454.54144172753257</v>
      </c>
      <c r="AI43" s="100" t="str">
        <f>IF(ISERROR(MATCH(SamplingData[[#This Row],[Batch by Type (p)]],SelectedPrecincts[Batch Name], 0)), "", INDEX(SelectedPrecincts[Draw], MATCH(SamplingData[[#This Row],[Batch by Type (p)]],SelectedPrecincts[Batch Name], 0)))</f>
        <v/>
      </c>
      <c r="AJ43" s="101">
        <f>IF(COUNTIF(SelectedPrecincts[Batch Name],SamplingData[[#This Row],[Batch by Type (p)]]) &lt;&gt; 0, COUNTIF(SelectedPrecincts[Batch Name],SamplingData[[#This Row],[Batch by Type (p)]]), 0)</f>
        <v>0</v>
      </c>
    </row>
    <row r="44" spans="1:36" ht="15" customHeight="1" x14ac:dyDescent="0.35">
      <c r="A44" s="98" t="s">
        <v>255</v>
      </c>
      <c r="B44" s="98">
        <v>76</v>
      </c>
      <c r="C44" s="98">
        <v>55</v>
      </c>
      <c r="D44" s="93"/>
      <c r="E44" s="93"/>
      <c r="F44" s="93"/>
      <c r="G44" s="97"/>
      <c r="H44" s="97"/>
      <c r="I44" s="93"/>
      <c r="J44" s="93"/>
      <c r="K44" s="93"/>
      <c r="L44" s="93"/>
      <c r="M44" s="93"/>
      <c r="N44" s="98">
        <v>0</v>
      </c>
      <c r="O44" s="98">
        <v>0</v>
      </c>
      <c r="P44" s="99">
        <f>SUM(SamplingData[[#This Row],[Winning Candidate]:[Under Votes]])</f>
        <v>131</v>
      </c>
      <c r="Q44" s="100">
        <f>IF(AND(SamplingData[[#This Row],[Total]]&lt;&gt; 0, NOT(ISBLANK(SamplingData[[#This Row],[Losing Candidate]]))),(SamplingData[[#This Row],[Total]]+SamplingData[[#This Row],[Winning Candidate]]-SamplingData[[#This Row],[Losing Candidate]])/(SamplingData[[#Totals],[Winning Candidate]]-SamplingData[[#Totals],[Losing Candidate]]), 0)</f>
        <v>0.32135306553911203</v>
      </c>
      <c r="R44" s="100">
        <f>IF(AND(SamplingData[[#This Row],[Total]]&lt;&gt; 0, NOT(ISBLANK(SamplingData[[#This Row],[Candidate 3]]))),(SamplingData[[#This Row],[Total]]+SamplingData[[#This Row],[Winning Candidate]]-SamplingData[[#This Row],[Candidate 3]])/(SamplingData[[#Totals],[Winning Candidate]]-SamplingData[[#Totals],[Candidate 3]]), 0)</f>
        <v>0</v>
      </c>
      <c r="S44" s="100">
        <f>IF(AND(SamplingData[[#This Row],[Total]]&lt;&gt; 0, NOT(ISBLANK(SamplingData[[#This Row],[Candidate 4]]))),(SamplingData[[#This Row],[Total]]+SamplingData[[#This Row],[Winning Candidate]]-SamplingData[[#This Row],[Candidate 4]])/(SamplingData[[#Totals],[Winning Candidate]]-SamplingData[[#Totals],[Candidate 4]]), 0)</f>
        <v>0</v>
      </c>
      <c r="T44" s="100">
        <f>IF(AND(SamplingData[[#This Row],[Total]]&lt;&gt; 0, NOT(ISBLANK(SamplingData[[#This Row],[Candidate 5]]))),(SamplingData[[#This Row],[Total]]+SamplingData[[#This Row],[Winning Candidate]]-SamplingData[[#This Row],[Candidate 5]])/(SamplingData[[#Totals],[Winning Candidate]]-SamplingData[[#Totals],[Candidate 5]]), 0)</f>
        <v>0</v>
      </c>
      <c r="U44" s="100">
        <f>IF(AND(SamplingData[[#This Row],[Total]]&lt;&gt; 0, NOT(ISBLANK(SamplingData[[#This Row],[Candidate 6]]))),(SamplingData[[#This Row],[Total]]+SamplingData[[#This Row],[Losing Candidate]]-SamplingData[[#This Row],[Candidate 6]])/(SamplingData[[#Totals],[Winning Candidate]]-SamplingData[[#Totals],[Candidate 6]]), 0)</f>
        <v>0</v>
      </c>
      <c r="V44" s="100">
        <f>IF(AND(SamplingData[[#This Row],[Total]]&lt;&gt; 0, NOT(ISBLANK(SamplingData[[#This Row],[Candidate 7]]))),(SamplingData[[#This Row],[Total]]+SamplingData[[#This Row],[Winning Candidate]]-SamplingData[[#This Row],[Candidate 7]])/(SamplingData[[#Totals],[Winning Candidate]]-SamplingData[[#Totals],[Candidate 7]]), 0)</f>
        <v>0</v>
      </c>
      <c r="W44" s="100">
        <f>IF(AND(SamplingData[[#This Row],[Total]]&lt;&gt; 0, NOT(ISBLANK(SamplingData[[#This Row],[Candidate 8]]))),(SamplingData[[#This Row],[Total]]+SamplingData[[#This Row],[Winning Candidate]]-SamplingData[[#This Row],[Candidate 8]])/(SamplingData[[#Totals],[Winning Candidate]]-SamplingData[[#Totals],[Candidate 8]]), 0)</f>
        <v>0</v>
      </c>
      <c r="X4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4" s="100">
        <f>MAX(SamplingData[[#This Row],[Error Bound (up) - Max. possible relative overstatement - Losing Candidate]:[Error Bound (up) - Max. possible relative overstatement - Candidate 12]])</f>
        <v>0.32135306553911203</v>
      </c>
      <c r="AC44" s="100">
        <f>IF(SamplingData[[#This Row],[Max Error Bound (up)]] = 0,0,SamplingData[[#This Row],[Max Error Bound (up)]]/SamplingData[[#Totals],[Max Error Bound (up)]])</f>
        <v>2.4134645919339469E-2</v>
      </c>
      <c r="AD44" s="104">
        <f>SUM($AC$5:AC44)</f>
        <v>0.47967608764687203</v>
      </c>
      <c r="AE44" s="100" t="str" cm="1">
        <f t="array" ref="AE44">IF(SamplingData[[#This Row],[up/U Selection Probability]] = 0, "Zero", TEXT(SamplingData[[#This Row],[Lower Range]], REPT("0",LEN('General Info'!$B$42))) &amp; " - " &amp; TEXT(SamplingData[[#This Row],[Upper Range]], REPT("0",LEN('General Info'!$B$42))))</f>
        <v>456 - 479</v>
      </c>
      <c r="AF44" s="100">
        <f>SamplingData[[#This Row],[Upper Range]]-SamplingData[[#This Row],[Span]]</f>
        <v>455.54144172753257</v>
      </c>
      <c r="AG44" s="100">
        <f>IF(ISNUMBER('General Info'!$B$42), ((SamplingData[[#This Row],[up/U Selection Probability]]) * 'General Info'!$B$44) - 1, 0)</f>
        <v>23.134645919339469</v>
      </c>
      <c r="AH44" s="100">
        <f>IF(ISNUMBER('General Info'!$B$42), (SamplingData[[#This Row],[Running (cumulative) sum]] * ('General Info'!$B$42 -'General Info'!$B$43 + 1)) + 'General Info'!$B$43 - 1, 0)</f>
        <v>478.67608764687202</v>
      </c>
      <c r="AI44" s="100">
        <f>IF(ISERROR(MATCH(SamplingData[[#This Row],[Batch by Type (p)]],SelectedPrecincts[Batch Name], 0)), "", INDEX(SelectedPrecincts[Draw], MATCH(SamplingData[[#This Row],[Batch by Type (p)]],SelectedPrecincts[Batch Name], 0)))</f>
        <v>12</v>
      </c>
      <c r="AJ44" s="101">
        <f>IF(COUNTIF(SelectedPrecincts[Batch Name],SamplingData[[#This Row],[Batch by Type (p)]]) &lt;&gt; 0, COUNTIF(SelectedPrecincts[Batch Name],SamplingData[[#This Row],[Batch by Type (p)]]), 0)</f>
        <v>1</v>
      </c>
    </row>
    <row r="45" spans="1:36" ht="15" customHeight="1" x14ac:dyDescent="0.35">
      <c r="A45" s="98" t="s">
        <v>256</v>
      </c>
      <c r="B45" s="98">
        <v>46</v>
      </c>
      <c r="C45" s="98">
        <v>61</v>
      </c>
      <c r="D45" s="93"/>
      <c r="E45" s="93"/>
      <c r="F45" s="93"/>
      <c r="G45" s="97"/>
      <c r="H45" s="97"/>
      <c r="I45" s="93"/>
      <c r="J45" s="93"/>
      <c r="K45" s="93"/>
      <c r="L45" s="93"/>
      <c r="M45" s="93"/>
      <c r="N45" s="98">
        <v>0</v>
      </c>
      <c r="O45" s="98">
        <v>0</v>
      </c>
      <c r="P45" s="99">
        <f>SUM(SamplingData[[#This Row],[Winning Candidate]:[Under Votes]])</f>
        <v>107</v>
      </c>
      <c r="Q45" s="100">
        <f>IF(AND(SamplingData[[#This Row],[Total]]&lt;&gt; 0, NOT(ISBLANK(SamplingData[[#This Row],[Losing Candidate]]))),(SamplingData[[#This Row],[Total]]+SamplingData[[#This Row],[Winning Candidate]]-SamplingData[[#This Row],[Losing Candidate]])/(SamplingData[[#Totals],[Winning Candidate]]-SamplingData[[#Totals],[Losing Candidate]]), 0)</f>
        <v>0.1945031712473573</v>
      </c>
      <c r="R45" s="100">
        <f>IF(AND(SamplingData[[#This Row],[Total]]&lt;&gt; 0, NOT(ISBLANK(SamplingData[[#This Row],[Candidate 3]]))),(SamplingData[[#This Row],[Total]]+SamplingData[[#This Row],[Winning Candidate]]-SamplingData[[#This Row],[Candidate 3]])/(SamplingData[[#Totals],[Winning Candidate]]-SamplingData[[#Totals],[Candidate 3]]), 0)</f>
        <v>0</v>
      </c>
      <c r="S45" s="100">
        <f>IF(AND(SamplingData[[#This Row],[Total]]&lt;&gt; 0, NOT(ISBLANK(SamplingData[[#This Row],[Candidate 4]]))),(SamplingData[[#This Row],[Total]]+SamplingData[[#This Row],[Winning Candidate]]-SamplingData[[#This Row],[Candidate 4]])/(SamplingData[[#Totals],[Winning Candidate]]-SamplingData[[#Totals],[Candidate 4]]), 0)</f>
        <v>0</v>
      </c>
      <c r="T45" s="100">
        <f>IF(AND(SamplingData[[#This Row],[Total]]&lt;&gt; 0, NOT(ISBLANK(SamplingData[[#This Row],[Candidate 5]]))),(SamplingData[[#This Row],[Total]]+SamplingData[[#This Row],[Winning Candidate]]-SamplingData[[#This Row],[Candidate 5]])/(SamplingData[[#Totals],[Winning Candidate]]-SamplingData[[#Totals],[Candidate 5]]), 0)</f>
        <v>0</v>
      </c>
      <c r="U45" s="100">
        <f>IF(AND(SamplingData[[#This Row],[Total]]&lt;&gt; 0, NOT(ISBLANK(SamplingData[[#This Row],[Candidate 6]]))),(SamplingData[[#This Row],[Total]]+SamplingData[[#This Row],[Losing Candidate]]-SamplingData[[#This Row],[Candidate 6]])/(SamplingData[[#Totals],[Winning Candidate]]-SamplingData[[#Totals],[Candidate 6]]), 0)</f>
        <v>0</v>
      </c>
      <c r="V45" s="100">
        <f>IF(AND(SamplingData[[#This Row],[Total]]&lt;&gt; 0, NOT(ISBLANK(SamplingData[[#This Row],[Candidate 7]]))),(SamplingData[[#This Row],[Total]]+SamplingData[[#This Row],[Winning Candidate]]-SamplingData[[#This Row],[Candidate 7]])/(SamplingData[[#Totals],[Winning Candidate]]-SamplingData[[#Totals],[Candidate 7]]), 0)</f>
        <v>0</v>
      </c>
      <c r="W45" s="100">
        <f>IF(AND(SamplingData[[#This Row],[Total]]&lt;&gt; 0, NOT(ISBLANK(SamplingData[[#This Row],[Candidate 8]]))),(SamplingData[[#This Row],[Total]]+SamplingData[[#This Row],[Winning Candidate]]-SamplingData[[#This Row],[Candidate 8]])/(SamplingData[[#Totals],[Winning Candidate]]-SamplingData[[#Totals],[Candidate 8]]), 0)</f>
        <v>0</v>
      </c>
      <c r="X4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5" s="100">
        <f>MAX(SamplingData[[#This Row],[Error Bound (up) - Max. possible relative overstatement - Losing Candidate]:[Error Bound (up) - Max. possible relative overstatement - Candidate 12]])</f>
        <v>0.1945031712473573</v>
      </c>
      <c r="AC45" s="100">
        <f>IF(SamplingData[[#This Row],[Max Error Bound (up)]] = 0,0,SamplingData[[#This Row],[Max Error Bound (up)]]/SamplingData[[#Totals],[Max Error Bound (up)]])</f>
        <v>1.4607812003810733E-2</v>
      </c>
      <c r="AD45" s="104">
        <f>SUM($AC$5:AC45)</f>
        <v>0.49428389965068276</v>
      </c>
      <c r="AE45" s="100" t="str" cm="1">
        <f t="array" ref="AE45">IF(SamplingData[[#This Row],[up/U Selection Probability]] = 0, "Zero", TEXT(SamplingData[[#This Row],[Lower Range]], REPT("0",LEN('General Info'!$B$42))) &amp; " - " &amp; TEXT(SamplingData[[#This Row],[Upper Range]], REPT("0",LEN('General Info'!$B$42))))</f>
        <v>480 - 493</v>
      </c>
      <c r="AF45" s="100">
        <f>SamplingData[[#This Row],[Upper Range]]-SamplingData[[#This Row],[Span]]</f>
        <v>479.67608764687202</v>
      </c>
      <c r="AG45" s="100">
        <f>IF(ISNUMBER('General Info'!$B$42), ((SamplingData[[#This Row],[up/U Selection Probability]]) * 'General Info'!$B$44) - 1, 0)</f>
        <v>13.607812003810732</v>
      </c>
      <c r="AH45" s="100">
        <f>IF(ISNUMBER('General Info'!$B$42), (SamplingData[[#This Row],[Running (cumulative) sum]] * ('General Info'!$B$42 -'General Info'!$B$43 + 1)) + 'General Info'!$B$43 - 1, 0)</f>
        <v>493.28389965068277</v>
      </c>
      <c r="AI45" s="100" t="str">
        <f>IF(ISERROR(MATCH(SamplingData[[#This Row],[Batch by Type (p)]],SelectedPrecincts[Batch Name], 0)), "", INDEX(SelectedPrecincts[Draw], MATCH(SamplingData[[#This Row],[Batch by Type (p)]],SelectedPrecincts[Batch Name], 0)))</f>
        <v/>
      </c>
      <c r="AJ45" s="101">
        <f>IF(COUNTIF(SelectedPrecincts[Batch Name],SamplingData[[#This Row],[Batch by Type (p)]]) &lt;&gt; 0, COUNTIF(SelectedPrecincts[Batch Name],SamplingData[[#This Row],[Batch by Type (p)]]), 0)</f>
        <v>0</v>
      </c>
    </row>
    <row r="46" spans="1:36" ht="15" customHeight="1" x14ac:dyDescent="0.35">
      <c r="A46" s="98" t="s">
        <v>257</v>
      </c>
      <c r="B46" s="98">
        <v>63</v>
      </c>
      <c r="C46" s="98">
        <v>61</v>
      </c>
      <c r="D46" s="93"/>
      <c r="E46" s="93"/>
      <c r="F46" s="93"/>
      <c r="G46" s="97"/>
      <c r="H46" s="97"/>
      <c r="I46" s="93"/>
      <c r="J46" s="93"/>
      <c r="K46" s="93"/>
      <c r="L46" s="93"/>
      <c r="M46" s="93"/>
      <c r="N46" s="98">
        <v>0</v>
      </c>
      <c r="O46" s="98">
        <v>1</v>
      </c>
      <c r="P46" s="99">
        <f>SUM(SamplingData[[#This Row],[Winning Candidate]:[Under Votes]])</f>
        <v>125</v>
      </c>
      <c r="Q46" s="100">
        <f>IF(AND(SamplingData[[#This Row],[Total]]&lt;&gt; 0, NOT(ISBLANK(SamplingData[[#This Row],[Losing Candidate]]))),(SamplingData[[#This Row],[Total]]+SamplingData[[#This Row],[Winning Candidate]]-SamplingData[[#This Row],[Losing Candidate]])/(SamplingData[[#Totals],[Winning Candidate]]-SamplingData[[#Totals],[Losing Candidate]]), 0)</f>
        <v>0.26849894291754756</v>
      </c>
      <c r="R46" s="100">
        <f>IF(AND(SamplingData[[#This Row],[Total]]&lt;&gt; 0, NOT(ISBLANK(SamplingData[[#This Row],[Candidate 3]]))),(SamplingData[[#This Row],[Total]]+SamplingData[[#This Row],[Winning Candidate]]-SamplingData[[#This Row],[Candidate 3]])/(SamplingData[[#Totals],[Winning Candidate]]-SamplingData[[#Totals],[Candidate 3]]), 0)</f>
        <v>0</v>
      </c>
      <c r="S46" s="100">
        <f>IF(AND(SamplingData[[#This Row],[Total]]&lt;&gt; 0, NOT(ISBLANK(SamplingData[[#This Row],[Candidate 4]]))),(SamplingData[[#This Row],[Total]]+SamplingData[[#This Row],[Winning Candidate]]-SamplingData[[#This Row],[Candidate 4]])/(SamplingData[[#Totals],[Winning Candidate]]-SamplingData[[#Totals],[Candidate 4]]), 0)</f>
        <v>0</v>
      </c>
      <c r="T46" s="100">
        <f>IF(AND(SamplingData[[#This Row],[Total]]&lt;&gt; 0, NOT(ISBLANK(SamplingData[[#This Row],[Candidate 5]]))),(SamplingData[[#This Row],[Total]]+SamplingData[[#This Row],[Winning Candidate]]-SamplingData[[#This Row],[Candidate 5]])/(SamplingData[[#Totals],[Winning Candidate]]-SamplingData[[#Totals],[Candidate 5]]), 0)</f>
        <v>0</v>
      </c>
      <c r="U46" s="100">
        <f>IF(AND(SamplingData[[#This Row],[Total]]&lt;&gt; 0, NOT(ISBLANK(SamplingData[[#This Row],[Candidate 6]]))),(SamplingData[[#This Row],[Total]]+SamplingData[[#This Row],[Losing Candidate]]-SamplingData[[#This Row],[Candidate 6]])/(SamplingData[[#Totals],[Winning Candidate]]-SamplingData[[#Totals],[Candidate 6]]), 0)</f>
        <v>0</v>
      </c>
      <c r="V46" s="100">
        <f>IF(AND(SamplingData[[#This Row],[Total]]&lt;&gt; 0, NOT(ISBLANK(SamplingData[[#This Row],[Candidate 7]]))),(SamplingData[[#This Row],[Total]]+SamplingData[[#This Row],[Winning Candidate]]-SamplingData[[#This Row],[Candidate 7]])/(SamplingData[[#Totals],[Winning Candidate]]-SamplingData[[#Totals],[Candidate 7]]), 0)</f>
        <v>0</v>
      </c>
      <c r="W46" s="100">
        <f>IF(AND(SamplingData[[#This Row],[Total]]&lt;&gt; 0, NOT(ISBLANK(SamplingData[[#This Row],[Candidate 8]]))),(SamplingData[[#This Row],[Total]]+SamplingData[[#This Row],[Winning Candidate]]-SamplingData[[#This Row],[Candidate 8]])/(SamplingData[[#Totals],[Winning Candidate]]-SamplingData[[#Totals],[Candidate 8]]), 0)</f>
        <v>0</v>
      </c>
      <c r="X4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6" s="100">
        <f>MAX(SamplingData[[#This Row],[Error Bound (up) - Max. possible relative overstatement - Losing Candidate]:[Error Bound (up) - Max. possible relative overstatement - Candidate 12]])</f>
        <v>0.26849894291754756</v>
      </c>
      <c r="AC46" s="100">
        <f>IF(SamplingData[[#This Row],[Max Error Bound (up)]] = 0,0,SamplingData[[#This Row],[Max Error Bound (up)]]/SamplingData[[#Totals],[Max Error Bound (up)]])</f>
        <v>2.0165131787869162E-2</v>
      </c>
      <c r="AD46" s="104">
        <f>SUM($AC$5:AC46)</f>
        <v>0.51444903143855192</v>
      </c>
      <c r="AE46" s="100" t="str" cm="1">
        <f t="array" ref="AE46">IF(SamplingData[[#This Row],[up/U Selection Probability]] = 0, "Zero", TEXT(SamplingData[[#This Row],[Lower Range]], REPT("0",LEN('General Info'!$B$42))) &amp; " - " &amp; TEXT(SamplingData[[#This Row],[Upper Range]], REPT("0",LEN('General Info'!$B$42))))</f>
        <v>494 - 513</v>
      </c>
      <c r="AF46" s="100">
        <f>SamplingData[[#This Row],[Upper Range]]-SamplingData[[#This Row],[Span]]</f>
        <v>494.28389965068283</v>
      </c>
      <c r="AG46" s="100">
        <f>IF(ISNUMBER('General Info'!$B$42), ((SamplingData[[#This Row],[up/U Selection Probability]]) * 'General Info'!$B$44) - 1, 0)</f>
        <v>19.165131787869161</v>
      </c>
      <c r="AH46" s="100">
        <f>IF(ISNUMBER('General Info'!$B$42), (SamplingData[[#This Row],[Running (cumulative) sum]] * ('General Info'!$B$42 -'General Info'!$B$43 + 1)) + 'General Info'!$B$43 - 1, 0)</f>
        <v>513.44903143855197</v>
      </c>
      <c r="AI46" s="100" t="str">
        <f>IF(ISERROR(MATCH(SamplingData[[#This Row],[Batch by Type (p)]],SelectedPrecincts[Batch Name], 0)), "", INDEX(SelectedPrecincts[Draw], MATCH(SamplingData[[#This Row],[Batch by Type (p)]],SelectedPrecincts[Batch Name], 0)))</f>
        <v/>
      </c>
      <c r="AJ46" s="101">
        <f>IF(COUNTIF(SelectedPrecincts[Batch Name],SamplingData[[#This Row],[Batch by Type (p)]]) &lt;&gt; 0, COUNTIF(SelectedPrecincts[Batch Name],SamplingData[[#This Row],[Batch by Type (p)]]), 0)</f>
        <v>0</v>
      </c>
    </row>
    <row r="47" spans="1:36" ht="15" customHeight="1" x14ac:dyDescent="0.35">
      <c r="A47" s="98" t="s">
        <v>258</v>
      </c>
      <c r="B47" s="98">
        <v>49</v>
      </c>
      <c r="C47" s="98">
        <v>28</v>
      </c>
      <c r="D47" s="93"/>
      <c r="E47" s="93"/>
      <c r="F47" s="93"/>
      <c r="G47" s="97"/>
      <c r="H47" s="97"/>
      <c r="I47" s="93"/>
      <c r="J47" s="93"/>
      <c r="K47" s="93"/>
      <c r="L47" s="93"/>
      <c r="M47" s="93"/>
      <c r="N47" s="98">
        <v>0</v>
      </c>
      <c r="O47" s="98">
        <v>0</v>
      </c>
      <c r="P47" s="99">
        <f>SUM(SamplingData[[#This Row],[Winning Candidate]:[Under Votes]])</f>
        <v>77</v>
      </c>
      <c r="Q47" s="100">
        <f>IF(AND(SamplingData[[#This Row],[Total]]&lt;&gt; 0, NOT(ISBLANK(SamplingData[[#This Row],[Losing Candidate]]))),(SamplingData[[#This Row],[Total]]+SamplingData[[#This Row],[Winning Candidate]]-SamplingData[[#This Row],[Losing Candidate]])/(SamplingData[[#Totals],[Winning Candidate]]-SamplingData[[#Totals],[Losing Candidate]]), 0)</f>
        <v>0.20718816067653276</v>
      </c>
      <c r="R47" s="100">
        <f>IF(AND(SamplingData[[#This Row],[Total]]&lt;&gt; 0, NOT(ISBLANK(SamplingData[[#This Row],[Candidate 3]]))),(SamplingData[[#This Row],[Total]]+SamplingData[[#This Row],[Winning Candidate]]-SamplingData[[#This Row],[Candidate 3]])/(SamplingData[[#Totals],[Winning Candidate]]-SamplingData[[#Totals],[Candidate 3]]), 0)</f>
        <v>0</v>
      </c>
      <c r="S47" s="100">
        <f>IF(AND(SamplingData[[#This Row],[Total]]&lt;&gt; 0, NOT(ISBLANK(SamplingData[[#This Row],[Candidate 4]]))),(SamplingData[[#This Row],[Total]]+SamplingData[[#This Row],[Winning Candidate]]-SamplingData[[#This Row],[Candidate 4]])/(SamplingData[[#Totals],[Winning Candidate]]-SamplingData[[#Totals],[Candidate 4]]), 0)</f>
        <v>0</v>
      </c>
      <c r="T47" s="100">
        <f>IF(AND(SamplingData[[#This Row],[Total]]&lt;&gt; 0, NOT(ISBLANK(SamplingData[[#This Row],[Candidate 5]]))),(SamplingData[[#This Row],[Total]]+SamplingData[[#This Row],[Winning Candidate]]-SamplingData[[#This Row],[Candidate 5]])/(SamplingData[[#Totals],[Winning Candidate]]-SamplingData[[#Totals],[Candidate 5]]), 0)</f>
        <v>0</v>
      </c>
      <c r="U47" s="100">
        <f>IF(AND(SamplingData[[#This Row],[Total]]&lt;&gt; 0, NOT(ISBLANK(SamplingData[[#This Row],[Candidate 6]]))),(SamplingData[[#This Row],[Total]]+SamplingData[[#This Row],[Losing Candidate]]-SamplingData[[#This Row],[Candidate 6]])/(SamplingData[[#Totals],[Winning Candidate]]-SamplingData[[#Totals],[Candidate 6]]), 0)</f>
        <v>0</v>
      </c>
      <c r="V47" s="100">
        <f>IF(AND(SamplingData[[#This Row],[Total]]&lt;&gt; 0, NOT(ISBLANK(SamplingData[[#This Row],[Candidate 7]]))),(SamplingData[[#This Row],[Total]]+SamplingData[[#This Row],[Winning Candidate]]-SamplingData[[#This Row],[Candidate 7]])/(SamplingData[[#Totals],[Winning Candidate]]-SamplingData[[#Totals],[Candidate 7]]), 0)</f>
        <v>0</v>
      </c>
      <c r="W47" s="100">
        <f>IF(AND(SamplingData[[#This Row],[Total]]&lt;&gt; 0, NOT(ISBLANK(SamplingData[[#This Row],[Candidate 8]]))),(SamplingData[[#This Row],[Total]]+SamplingData[[#This Row],[Winning Candidate]]-SamplingData[[#This Row],[Candidate 8]])/(SamplingData[[#Totals],[Winning Candidate]]-SamplingData[[#Totals],[Candidate 8]]), 0)</f>
        <v>0</v>
      </c>
      <c r="X4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7" s="100">
        <f>MAX(SamplingData[[#This Row],[Error Bound (up) - Max. possible relative overstatement - Losing Candidate]:[Error Bound (up) - Max. possible relative overstatement - Candidate 12]])</f>
        <v>0.20718816067653276</v>
      </c>
      <c r="AC47" s="100">
        <f>IF(SamplingData[[#This Row],[Max Error Bound (up)]] = 0,0,SamplingData[[#This Row],[Max Error Bound (up)]]/SamplingData[[#Totals],[Max Error Bound (up)]])</f>
        <v>1.5560495395363604E-2</v>
      </c>
      <c r="AD47" s="104">
        <f>SUM($AC$5:AC47)</f>
        <v>0.53000952683391556</v>
      </c>
      <c r="AE47" s="100" t="str" cm="1">
        <f t="array" ref="AE47">IF(SamplingData[[#This Row],[up/U Selection Probability]] = 0, "Zero", TEXT(SamplingData[[#This Row],[Lower Range]], REPT("0",LEN('General Info'!$B$42))) &amp; " - " &amp; TEXT(SamplingData[[#This Row],[Upper Range]], REPT("0",LEN('General Info'!$B$42))))</f>
        <v>514 - 529</v>
      </c>
      <c r="AF47" s="100">
        <f>SamplingData[[#This Row],[Upper Range]]-SamplingData[[#This Row],[Span]]</f>
        <v>514.44903143855186</v>
      </c>
      <c r="AG47" s="100">
        <f>IF(ISNUMBER('General Info'!$B$42), ((SamplingData[[#This Row],[up/U Selection Probability]]) * 'General Info'!$B$44) - 1, 0)</f>
        <v>14.560495395363603</v>
      </c>
      <c r="AH47" s="100">
        <f>IF(ISNUMBER('General Info'!$B$42), (SamplingData[[#This Row],[Running (cumulative) sum]] * ('General Info'!$B$42 -'General Info'!$B$43 + 1)) + 'General Info'!$B$43 - 1, 0)</f>
        <v>529.00952683391552</v>
      </c>
      <c r="AI47" s="100" t="str">
        <f>IF(ISERROR(MATCH(SamplingData[[#This Row],[Batch by Type (p)]],SelectedPrecincts[Batch Name], 0)), "", INDEX(SelectedPrecincts[Draw], MATCH(SamplingData[[#This Row],[Batch by Type (p)]],SelectedPrecincts[Batch Name], 0)))</f>
        <v/>
      </c>
      <c r="AJ47" s="101">
        <f>IF(COUNTIF(SelectedPrecincts[Batch Name],SamplingData[[#This Row],[Batch by Type (p)]]) &lt;&gt; 0, COUNTIF(SelectedPrecincts[Batch Name],SamplingData[[#This Row],[Batch by Type (p)]]), 0)</f>
        <v>0</v>
      </c>
    </row>
    <row r="48" spans="1:36" ht="15" customHeight="1" x14ac:dyDescent="0.35">
      <c r="A48" s="98" t="s">
        <v>259</v>
      </c>
      <c r="B48" s="98">
        <v>152</v>
      </c>
      <c r="C48" s="98">
        <v>68</v>
      </c>
      <c r="D48" s="93"/>
      <c r="E48" s="93"/>
      <c r="F48" s="93"/>
      <c r="G48" s="97"/>
      <c r="H48" s="97"/>
      <c r="I48" s="93"/>
      <c r="J48" s="93"/>
      <c r="K48" s="93"/>
      <c r="L48" s="93"/>
      <c r="M48" s="93"/>
      <c r="N48" s="98">
        <v>0</v>
      </c>
      <c r="O48" s="98">
        <v>0</v>
      </c>
      <c r="P48" s="99">
        <f>SUM(SamplingData[[#This Row],[Winning Candidate]:[Under Votes]])</f>
        <v>220</v>
      </c>
      <c r="Q48" s="100">
        <f>IF(AND(SamplingData[[#This Row],[Total]]&lt;&gt; 0, NOT(ISBLANK(SamplingData[[#This Row],[Losing Candidate]]))),(SamplingData[[#This Row],[Total]]+SamplingData[[#This Row],[Winning Candidate]]-SamplingData[[#This Row],[Losing Candidate]])/(SamplingData[[#Totals],[Winning Candidate]]-SamplingData[[#Totals],[Losing Candidate]]), 0)</f>
        <v>0.64270613107822405</v>
      </c>
      <c r="R48" s="100">
        <f>IF(AND(SamplingData[[#This Row],[Total]]&lt;&gt; 0, NOT(ISBLANK(SamplingData[[#This Row],[Candidate 3]]))),(SamplingData[[#This Row],[Total]]+SamplingData[[#This Row],[Winning Candidate]]-SamplingData[[#This Row],[Candidate 3]])/(SamplingData[[#Totals],[Winning Candidate]]-SamplingData[[#Totals],[Candidate 3]]), 0)</f>
        <v>0</v>
      </c>
      <c r="S48" s="100">
        <f>IF(AND(SamplingData[[#This Row],[Total]]&lt;&gt; 0, NOT(ISBLANK(SamplingData[[#This Row],[Candidate 4]]))),(SamplingData[[#This Row],[Total]]+SamplingData[[#This Row],[Winning Candidate]]-SamplingData[[#This Row],[Candidate 4]])/(SamplingData[[#Totals],[Winning Candidate]]-SamplingData[[#Totals],[Candidate 4]]), 0)</f>
        <v>0</v>
      </c>
      <c r="T48" s="100">
        <f>IF(AND(SamplingData[[#This Row],[Total]]&lt;&gt; 0, NOT(ISBLANK(SamplingData[[#This Row],[Candidate 5]]))),(SamplingData[[#This Row],[Total]]+SamplingData[[#This Row],[Winning Candidate]]-SamplingData[[#This Row],[Candidate 5]])/(SamplingData[[#Totals],[Winning Candidate]]-SamplingData[[#Totals],[Candidate 5]]), 0)</f>
        <v>0</v>
      </c>
      <c r="U48" s="100">
        <f>IF(AND(SamplingData[[#This Row],[Total]]&lt;&gt; 0, NOT(ISBLANK(SamplingData[[#This Row],[Candidate 6]]))),(SamplingData[[#This Row],[Total]]+SamplingData[[#This Row],[Losing Candidate]]-SamplingData[[#This Row],[Candidate 6]])/(SamplingData[[#Totals],[Winning Candidate]]-SamplingData[[#Totals],[Candidate 6]]), 0)</f>
        <v>0</v>
      </c>
      <c r="V48" s="100">
        <f>IF(AND(SamplingData[[#This Row],[Total]]&lt;&gt; 0, NOT(ISBLANK(SamplingData[[#This Row],[Candidate 7]]))),(SamplingData[[#This Row],[Total]]+SamplingData[[#This Row],[Winning Candidate]]-SamplingData[[#This Row],[Candidate 7]])/(SamplingData[[#Totals],[Winning Candidate]]-SamplingData[[#Totals],[Candidate 7]]), 0)</f>
        <v>0</v>
      </c>
      <c r="W48" s="100">
        <f>IF(AND(SamplingData[[#This Row],[Total]]&lt;&gt; 0, NOT(ISBLANK(SamplingData[[#This Row],[Candidate 8]]))),(SamplingData[[#This Row],[Total]]+SamplingData[[#This Row],[Winning Candidate]]-SamplingData[[#This Row],[Candidate 8]])/(SamplingData[[#Totals],[Winning Candidate]]-SamplingData[[#Totals],[Candidate 8]]), 0)</f>
        <v>0</v>
      </c>
      <c r="X4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8" s="100">
        <f>MAX(SamplingData[[#This Row],[Error Bound (up) - Max. possible relative overstatement - Losing Candidate]:[Error Bound (up) - Max. possible relative overstatement - Candidate 12]])</f>
        <v>0.64270613107822405</v>
      </c>
      <c r="AC48" s="100">
        <f>IF(SamplingData[[#This Row],[Max Error Bound (up)]] = 0,0,SamplingData[[#This Row],[Max Error Bound (up)]]/SamplingData[[#Totals],[Max Error Bound (up)]])</f>
        <v>4.8269291838678938E-2</v>
      </c>
      <c r="AD48" s="104">
        <f>SUM($AC$5:AC48)</f>
        <v>0.57827881867259445</v>
      </c>
      <c r="AE48" s="100" t="str" cm="1">
        <f t="array" ref="AE48">IF(SamplingData[[#This Row],[up/U Selection Probability]] = 0, "Zero", TEXT(SamplingData[[#This Row],[Lower Range]], REPT("0",LEN('General Info'!$B$42))) &amp; " - " &amp; TEXT(SamplingData[[#This Row],[Upper Range]], REPT("0",LEN('General Info'!$B$42))))</f>
        <v>530 - 577</v>
      </c>
      <c r="AF48" s="100">
        <f>SamplingData[[#This Row],[Upper Range]]-SamplingData[[#This Row],[Span]]</f>
        <v>530.00952683391552</v>
      </c>
      <c r="AG48" s="100">
        <f>IF(ISNUMBER('General Info'!$B$42), ((SamplingData[[#This Row],[up/U Selection Probability]]) * 'General Info'!$B$44) - 1, 0)</f>
        <v>47.269291838678939</v>
      </c>
      <c r="AH48" s="100">
        <f>IF(ISNUMBER('General Info'!$B$42), (SamplingData[[#This Row],[Running (cumulative) sum]] * ('General Info'!$B$42 -'General Info'!$B$43 + 1)) + 'General Info'!$B$43 - 1, 0)</f>
        <v>577.27881867259441</v>
      </c>
      <c r="AI48" s="100">
        <f>IF(ISERROR(MATCH(SamplingData[[#This Row],[Batch by Type (p)]],SelectedPrecincts[Batch Name], 0)), "", INDEX(SelectedPrecincts[Draw], MATCH(SamplingData[[#This Row],[Batch by Type (p)]],SelectedPrecincts[Batch Name], 0)))</f>
        <v>9</v>
      </c>
      <c r="AJ48" s="101">
        <f>IF(COUNTIF(SelectedPrecincts[Batch Name],SamplingData[[#This Row],[Batch by Type (p)]]) &lt;&gt; 0, COUNTIF(SelectedPrecincts[Batch Name],SamplingData[[#This Row],[Batch by Type (p)]]), 0)</f>
        <v>1</v>
      </c>
    </row>
    <row r="49" spans="1:36" ht="15" customHeight="1" x14ac:dyDescent="0.35">
      <c r="A49" s="98" t="s">
        <v>260</v>
      </c>
      <c r="B49" s="98">
        <v>223</v>
      </c>
      <c r="C49" s="98">
        <v>186</v>
      </c>
      <c r="D49" s="93"/>
      <c r="E49" s="93"/>
      <c r="F49" s="93"/>
      <c r="G49" s="97"/>
      <c r="H49" s="97"/>
      <c r="I49" s="93"/>
      <c r="J49" s="93"/>
      <c r="K49" s="93"/>
      <c r="L49" s="93"/>
      <c r="M49" s="93"/>
      <c r="N49" s="98">
        <v>0</v>
      </c>
      <c r="O49" s="98">
        <v>0</v>
      </c>
      <c r="P49" s="99">
        <f>SUM(SamplingData[[#This Row],[Winning Candidate]:[Under Votes]])</f>
        <v>409</v>
      </c>
      <c r="Q49" s="100">
        <f>IF(AND(SamplingData[[#This Row],[Total]]&lt;&gt; 0, NOT(ISBLANK(SamplingData[[#This Row],[Losing Candidate]]))),(SamplingData[[#This Row],[Total]]+SamplingData[[#This Row],[Winning Candidate]]-SamplingData[[#This Row],[Losing Candidate]])/(SamplingData[[#Totals],[Winning Candidate]]-SamplingData[[#Totals],[Losing Candidate]]), 0)</f>
        <v>0.94291754756871038</v>
      </c>
      <c r="R49" s="100">
        <f>IF(AND(SamplingData[[#This Row],[Total]]&lt;&gt; 0, NOT(ISBLANK(SamplingData[[#This Row],[Candidate 3]]))),(SamplingData[[#This Row],[Total]]+SamplingData[[#This Row],[Winning Candidate]]-SamplingData[[#This Row],[Candidate 3]])/(SamplingData[[#Totals],[Winning Candidate]]-SamplingData[[#Totals],[Candidate 3]]), 0)</f>
        <v>0</v>
      </c>
      <c r="S49" s="100">
        <f>IF(AND(SamplingData[[#This Row],[Total]]&lt;&gt; 0, NOT(ISBLANK(SamplingData[[#This Row],[Candidate 4]]))),(SamplingData[[#This Row],[Total]]+SamplingData[[#This Row],[Winning Candidate]]-SamplingData[[#This Row],[Candidate 4]])/(SamplingData[[#Totals],[Winning Candidate]]-SamplingData[[#Totals],[Candidate 4]]), 0)</f>
        <v>0</v>
      </c>
      <c r="T49" s="100">
        <f>IF(AND(SamplingData[[#This Row],[Total]]&lt;&gt; 0, NOT(ISBLANK(SamplingData[[#This Row],[Candidate 5]]))),(SamplingData[[#This Row],[Total]]+SamplingData[[#This Row],[Winning Candidate]]-SamplingData[[#This Row],[Candidate 5]])/(SamplingData[[#Totals],[Winning Candidate]]-SamplingData[[#Totals],[Candidate 5]]), 0)</f>
        <v>0</v>
      </c>
      <c r="U49" s="100">
        <f>IF(AND(SamplingData[[#This Row],[Total]]&lt;&gt; 0, NOT(ISBLANK(SamplingData[[#This Row],[Candidate 6]]))),(SamplingData[[#This Row],[Total]]+SamplingData[[#This Row],[Losing Candidate]]-SamplingData[[#This Row],[Candidate 6]])/(SamplingData[[#Totals],[Winning Candidate]]-SamplingData[[#Totals],[Candidate 6]]), 0)</f>
        <v>0</v>
      </c>
      <c r="V49" s="100">
        <f>IF(AND(SamplingData[[#This Row],[Total]]&lt;&gt; 0, NOT(ISBLANK(SamplingData[[#This Row],[Candidate 7]]))),(SamplingData[[#This Row],[Total]]+SamplingData[[#This Row],[Winning Candidate]]-SamplingData[[#This Row],[Candidate 7]])/(SamplingData[[#Totals],[Winning Candidate]]-SamplingData[[#Totals],[Candidate 7]]), 0)</f>
        <v>0</v>
      </c>
      <c r="W49" s="100">
        <f>IF(AND(SamplingData[[#This Row],[Total]]&lt;&gt; 0, NOT(ISBLANK(SamplingData[[#This Row],[Candidate 8]]))),(SamplingData[[#This Row],[Total]]+SamplingData[[#This Row],[Winning Candidate]]-SamplingData[[#This Row],[Candidate 8]])/(SamplingData[[#Totals],[Winning Candidate]]-SamplingData[[#Totals],[Candidate 8]]), 0)</f>
        <v>0</v>
      </c>
      <c r="X4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4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4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4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49" s="100">
        <f>MAX(SamplingData[[#This Row],[Error Bound (up) - Max. possible relative overstatement - Losing Candidate]:[Error Bound (up) - Max. possible relative overstatement - Candidate 12]])</f>
        <v>0.94291754756871038</v>
      </c>
      <c r="AC49" s="100">
        <f>IF(SamplingData[[#This Row],[Max Error Bound (up)]] = 0,0,SamplingData[[#This Row],[Max Error Bound (up)]]/SamplingData[[#Totals],[Max Error Bound (up)]])</f>
        <v>7.0816132105430279E-2</v>
      </c>
      <c r="AD49" s="104">
        <f>SUM($AC$5:AC49)</f>
        <v>0.6490949507780247</v>
      </c>
      <c r="AE49" s="100" t="str" cm="1">
        <f t="array" ref="AE49">IF(SamplingData[[#This Row],[up/U Selection Probability]] = 0, "Zero", TEXT(SamplingData[[#This Row],[Lower Range]], REPT("0",LEN('General Info'!$B$42))) &amp; " - " &amp; TEXT(SamplingData[[#This Row],[Upper Range]], REPT("0",LEN('General Info'!$B$42))))</f>
        <v>578 - 648</v>
      </c>
      <c r="AF49" s="100">
        <f>SamplingData[[#This Row],[Upper Range]]-SamplingData[[#This Row],[Span]]</f>
        <v>578.27881867259441</v>
      </c>
      <c r="AG49" s="100">
        <f>IF(ISNUMBER('General Info'!$B$42), ((SamplingData[[#This Row],[up/U Selection Probability]]) * 'General Info'!$B$44) - 1, 0)</f>
        <v>69.816132105430285</v>
      </c>
      <c r="AH49" s="100">
        <f>IF(ISNUMBER('General Info'!$B$42), (SamplingData[[#This Row],[Running (cumulative) sum]] * ('General Info'!$B$42 -'General Info'!$B$43 + 1)) + 'General Info'!$B$43 - 1, 0)</f>
        <v>648.09495077802467</v>
      </c>
      <c r="AI49" s="100">
        <f>IF(ISERROR(MATCH(SamplingData[[#This Row],[Batch by Type (p)]],SelectedPrecincts[Batch Name], 0)), "", INDEX(SelectedPrecincts[Draw], MATCH(SamplingData[[#This Row],[Batch by Type (p)]],SelectedPrecincts[Batch Name], 0)))</f>
        <v>6</v>
      </c>
      <c r="AJ49" s="101">
        <f>IF(COUNTIF(SelectedPrecincts[Batch Name],SamplingData[[#This Row],[Batch by Type (p)]]) &lt;&gt; 0, COUNTIF(SelectedPrecincts[Batch Name],SamplingData[[#This Row],[Batch by Type (p)]]), 0)</f>
        <v>3</v>
      </c>
    </row>
    <row r="50" spans="1:36" ht="15" customHeight="1" x14ac:dyDescent="0.35">
      <c r="A50" s="98" t="s">
        <v>261</v>
      </c>
      <c r="B50" s="98">
        <v>144</v>
      </c>
      <c r="C50" s="98">
        <v>176</v>
      </c>
      <c r="D50" s="93"/>
      <c r="E50" s="93"/>
      <c r="F50" s="93"/>
      <c r="G50" s="97"/>
      <c r="H50" s="97"/>
      <c r="I50" s="93"/>
      <c r="J50" s="93"/>
      <c r="K50" s="93"/>
      <c r="L50" s="93"/>
      <c r="M50" s="93"/>
      <c r="N50" s="98">
        <v>0</v>
      </c>
      <c r="O50" s="98">
        <v>0</v>
      </c>
      <c r="P50" s="99">
        <f>SUM(SamplingData[[#This Row],[Winning Candidate]:[Under Votes]])</f>
        <v>320</v>
      </c>
      <c r="Q50" s="100">
        <f>IF(AND(SamplingData[[#This Row],[Total]]&lt;&gt; 0, NOT(ISBLANK(SamplingData[[#This Row],[Losing Candidate]]))),(SamplingData[[#This Row],[Total]]+SamplingData[[#This Row],[Winning Candidate]]-SamplingData[[#This Row],[Losing Candidate]])/(SamplingData[[#Totals],[Winning Candidate]]-SamplingData[[#Totals],[Losing Candidate]]), 0)</f>
        <v>0.60887949260042284</v>
      </c>
      <c r="R50" s="100">
        <f>IF(AND(SamplingData[[#This Row],[Total]]&lt;&gt; 0, NOT(ISBLANK(SamplingData[[#This Row],[Candidate 3]]))),(SamplingData[[#This Row],[Total]]+SamplingData[[#This Row],[Winning Candidate]]-SamplingData[[#This Row],[Candidate 3]])/(SamplingData[[#Totals],[Winning Candidate]]-SamplingData[[#Totals],[Candidate 3]]), 0)</f>
        <v>0</v>
      </c>
      <c r="S50" s="100">
        <f>IF(AND(SamplingData[[#This Row],[Total]]&lt;&gt; 0, NOT(ISBLANK(SamplingData[[#This Row],[Candidate 4]]))),(SamplingData[[#This Row],[Total]]+SamplingData[[#This Row],[Winning Candidate]]-SamplingData[[#This Row],[Candidate 4]])/(SamplingData[[#Totals],[Winning Candidate]]-SamplingData[[#Totals],[Candidate 4]]), 0)</f>
        <v>0</v>
      </c>
      <c r="T50" s="100">
        <f>IF(AND(SamplingData[[#This Row],[Total]]&lt;&gt; 0, NOT(ISBLANK(SamplingData[[#This Row],[Candidate 5]]))),(SamplingData[[#This Row],[Total]]+SamplingData[[#This Row],[Winning Candidate]]-SamplingData[[#This Row],[Candidate 5]])/(SamplingData[[#Totals],[Winning Candidate]]-SamplingData[[#Totals],[Candidate 5]]), 0)</f>
        <v>0</v>
      </c>
      <c r="U50" s="100">
        <f>IF(AND(SamplingData[[#This Row],[Total]]&lt;&gt; 0, NOT(ISBLANK(SamplingData[[#This Row],[Candidate 6]]))),(SamplingData[[#This Row],[Total]]+SamplingData[[#This Row],[Losing Candidate]]-SamplingData[[#This Row],[Candidate 6]])/(SamplingData[[#Totals],[Winning Candidate]]-SamplingData[[#Totals],[Candidate 6]]), 0)</f>
        <v>0</v>
      </c>
      <c r="V50" s="100">
        <f>IF(AND(SamplingData[[#This Row],[Total]]&lt;&gt; 0, NOT(ISBLANK(SamplingData[[#This Row],[Candidate 7]]))),(SamplingData[[#This Row],[Total]]+SamplingData[[#This Row],[Winning Candidate]]-SamplingData[[#This Row],[Candidate 7]])/(SamplingData[[#Totals],[Winning Candidate]]-SamplingData[[#Totals],[Candidate 7]]), 0)</f>
        <v>0</v>
      </c>
      <c r="W50" s="100">
        <f>IF(AND(SamplingData[[#This Row],[Total]]&lt;&gt; 0, NOT(ISBLANK(SamplingData[[#This Row],[Candidate 8]]))),(SamplingData[[#This Row],[Total]]+SamplingData[[#This Row],[Winning Candidate]]-SamplingData[[#This Row],[Candidate 8]])/(SamplingData[[#Totals],[Winning Candidate]]-SamplingData[[#Totals],[Candidate 8]]), 0)</f>
        <v>0</v>
      </c>
      <c r="X5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0" s="100">
        <f>MAX(SamplingData[[#This Row],[Error Bound (up) - Max. possible relative overstatement - Losing Candidate]:[Error Bound (up) - Max. possible relative overstatement - Candidate 12]])</f>
        <v>0.60887949260042284</v>
      </c>
      <c r="AC50" s="100">
        <f>IF(SamplingData[[#This Row],[Max Error Bound (up)]] = 0,0,SamplingData[[#This Row],[Max Error Bound (up)]]/SamplingData[[#Totals],[Max Error Bound (up)]])</f>
        <v>4.5728802794537941E-2</v>
      </c>
      <c r="AD50" s="104">
        <f>SUM($AC$5:AC50)</f>
        <v>0.69482375357256265</v>
      </c>
      <c r="AE50" s="100" t="str" cm="1">
        <f t="array" ref="AE50">IF(SamplingData[[#This Row],[up/U Selection Probability]] = 0, "Zero", TEXT(SamplingData[[#This Row],[Lower Range]], REPT("0",LEN('General Info'!$B$42))) &amp; " - " &amp; TEXT(SamplingData[[#This Row],[Upper Range]], REPT("0",LEN('General Info'!$B$42))))</f>
        <v>649 - 694</v>
      </c>
      <c r="AF50" s="100">
        <f>SamplingData[[#This Row],[Upper Range]]-SamplingData[[#This Row],[Span]]</f>
        <v>649.09495077802467</v>
      </c>
      <c r="AG50" s="100">
        <f>IF(ISNUMBER('General Info'!$B$42), ((SamplingData[[#This Row],[up/U Selection Probability]]) * 'General Info'!$B$44) - 1, 0)</f>
        <v>44.728802794537941</v>
      </c>
      <c r="AH50" s="100">
        <f>IF(ISNUMBER('General Info'!$B$42), (SamplingData[[#This Row],[Running (cumulative) sum]] * ('General Info'!$B$42 -'General Info'!$B$43 + 1)) + 'General Info'!$B$43 - 1, 0)</f>
        <v>693.82375357256262</v>
      </c>
      <c r="AI50" s="100">
        <f>IF(ISERROR(MATCH(SamplingData[[#This Row],[Batch by Type (p)]],SelectedPrecincts[Batch Name], 0)), "", INDEX(SelectedPrecincts[Draw], MATCH(SamplingData[[#This Row],[Batch by Type (p)]],SelectedPrecincts[Batch Name], 0)))</f>
        <v>3</v>
      </c>
      <c r="AJ50" s="101">
        <f>IF(COUNTIF(SelectedPrecincts[Batch Name],SamplingData[[#This Row],[Batch by Type (p)]]) &lt;&gt; 0, COUNTIF(SelectedPrecincts[Batch Name],SamplingData[[#This Row],[Batch by Type (p)]]), 0)</f>
        <v>1</v>
      </c>
    </row>
    <row r="51" spans="1:36" ht="15" customHeight="1" x14ac:dyDescent="0.35">
      <c r="A51" s="98" t="s">
        <v>262</v>
      </c>
      <c r="B51" s="98">
        <v>160</v>
      </c>
      <c r="C51" s="98">
        <v>122</v>
      </c>
      <c r="D51" s="93"/>
      <c r="E51" s="93"/>
      <c r="F51" s="93"/>
      <c r="G51" s="97"/>
      <c r="H51" s="97"/>
      <c r="I51" s="93"/>
      <c r="J51" s="93"/>
      <c r="K51" s="93"/>
      <c r="L51" s="93"/>
      <c r="M51" s="93"/>
      <c r="N51" s="98">
        <v>0</v>
      </c>
      <c r="O51" s="98">
        <v>0</v>
      </c>
      <c r="P51" s="99">
        <f>SUM(SamplingData[[#This Row],[Winning Candidate]:[Under Votes]])</f>
        <v>282</v>
      </c>
      <c r="Q51" s="100">
        <f>IF(AND(SamplingData[[#This Row],[Total]]&lt;&gt; 0, NOT(ISBLANK(SamplingData[[#This Row],[Losing Candidate]]))),(SamplingData[[#This Row],[Total]]+SamplingData[[#This Row],[Winning Candidate]]-SamplingData[[#This Row],[Losing Candidate]])/(SamplingData[[#Totals],[Winning Candidate]]-SamplingData[[#Totals],[Losing Candidate]]), 0)</f>
        <v>0.67653276955602537</v>
      </c>
      <c r="R51" s="100">
        <f>IF(AND(SamplingData[[#This Row],[Total]]&lt;&gt; 0, NOT(ISBLANK(SamplingData[[#This Row],[Candidate 3]]))),(SamplingData[[#This Row],[Total]]+SamplingData[[#This Row],[Winning Candidate]]-SamplingData[[#This Row],[Candidate 3]])/(SamplingData[[#Totals],[Winning Candidate]]-SamplingData[[#Totals],[Candidate 3]]), 0)</f>
        <v>0</v>
      </c>
      <c r="S51" s="100">
        <f>IF(AND(SamplingData[[#This Row],[Total]]&lt;&gt; 0, NOT(ISBLANK(SamplingData[[#This Row],[Candidate 4]]))),(SamplingData[[#This Row],[Total]]+SamplingData[[#This Row],[Winning Candidate]]-SamplingData[[#This Row],[Candidate 4]])/(SamplingData[[#Totals],[Winning Candidate]]-SamplingData[[#Totals],[Candidate 4]]), 0)</f>
        <v>0</v>
      </c>
      <c r="T51" s="100">
        <f>IF(AND(SamplingData[[#This Row],[Total]]&lt;&gt; 0, NOT(ISBLANK(SamplingData[[#This Row],[Candidate 5]]))),(SamplingData[[#This Row],[Total]]+SamplingData[[#This Row],[Winning Candidate]]-SamplingData[[#This Row],[Candidate 5]])/(SamplingData[[#Totals],[Winning Candidate]]-SamplingData[[#Totals],[Candidate 5]]), 0)</f>
        <v>0</v>
      </c>
      <c r="U51" s="100">
        <f>IF(AND(SamplingData[[#This Row],[Total]]&lt;&gt; 0, NOT(ISBLANK(SamplingData[[#This Row],[Candidate 6]]))),(SamplingData[[#This Row],[Total]]+SamplingData[[#This Row],[Losing Candidate]]-SamplingData[[#This Row],[Candidate 6]])/(SamplingData[[#Totals],[Winning Candidate]]-SamplingData[[#Totals],[Candidate 6]]), 0)</f>
        <v>0</v>
      </c>
      <c r="V51" s="100">
        <f>IF(AND(SamplingData[[#This Row],[Total]]&lt;&gt; 0, NOT(ISBLANK(SamplingData[[#This Row],[Candidate 7]]))),(SamplingData[[#This Row],[Total]]+SamplingData[[#This Row],[Winning Candidate]]-SamplingData[[#This Row],[Candidate 7]])/(SamplingData[[#Totals],[Winning Candidate]]-SamplingData[[#Totals],[Candidate 7]]), 0)</f>
        <v>0</v>
      </c>
      <c r="W51" s="100">
        <f>IF(AND(SamplingData[[#This Row],[Total]]&lt;&gt; 0, NOT(ISBLANK(SamplingData[[#This Row],[Candidate 8]]))),(SamplingData[[#This Row],[Total]]+SamplingData[[#This Row],[Winning Candidate]]-SamplingData[[#This Row],[Candidate 8]])/(SamplingData[[#Totals],[Winning Candidate]]-SamplingData[[#Totals],[Candidate 8]]), 0)</f>
        <v>0</v>
      </c>
      <c r="X51"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1"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1"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1"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1" s="100">
        <f>MAX(SamplingData[[#This Row],[Error Bound (up) - Max. possible relative overstatement - Losing Candidate]:[Error Bound (up) - Max. possible relative overstatement - Candidate 12]])</f>
        <v>0.67653276955602537</v>
      </c>
      <c r="AC51" s="100">
        <f>IF(SamplingData[[#This Row],[Max Error Bound (up)]] = 0,0,SamplingData[[#This Row],[Max Error Bound (up)]]/SamplingData[[#Totals],[Max Error Bound (up)]])</f>
        <v>5.0809780882819934E-2</v>
      </c>
      <c r="AD51" s="104">
        <f>SUM($AC$5:AC51)</f>
        <v>0.74563353445538261</v>
      </c>
      <c r="AE51" s="100" t="str" cm="1">
        <f t="array" ref="AE51">IF(SamplingData[[#This Row],[up/U Selection Probability]] = 0, "Zero", TEXT(SamplingData[[#This Row],[Lower Range]], REPT("0",LEN('General Info'!$B$42))) &amp; " - " &amp; TEXT(SamplingData[[#This Row],[Upper Range]], REPT("0",LEN('General Info'!$B$42))))</f>
        <v>695 - 745</v>
      </c>
      <c r="AF51" s="100">
        <f>SamplingData[[#This Row],[Upper Range]]-SamplingData[[#This Row],[Span]]</f>
        <v>694.82375357256262</v>
      </c>
      <c r="AG51" s="100">
        <f>IF(ISNUMBER('General Info'!$B$42), ((SamplingData[[#This Row],[up/U Selection Probability]]) * 'General Info'!$B$44) - 1, 0)</f>
        <v>49.809780882819936</v>
      </c>
      <c r="AH51" s="100">
        <f>IF(ISNUMBER('General Info'!$B$42), (SamplingData[[#This Row],[Running (cumulative) sum]] * ('General Info'!$B$42 -'General Info'!$B$43 + 1)) + 'General Info'!$B$43 - 1, 0)</f>
        <v>744.63353445538257</v>
      </c>
      <c r="AI51" s="100" t="str">
        <f>IF(ISERROR(MATCH(SamplingData[[#This Row],[Batch by Type (p)]],SelectedPrecincts[Batch Name], 0)), "", INDEX(SelectedPrecincts[Draw], MATCH(SamplingData[[#This Row],[Batch by Type (p)]],SelectedPrecincts[Batch Name], 0)))</f>
        <v/>
      </c>
      <c r="AJ51" s="101">
        <f>IF(COUNTIF(SelectedPrecincts[Batch Name],SamplingData[[#This Row],[Batch by Type (p)]]) &lt;&gt; 0, COUNTIF(SelectedPrecincts[Batch Name],SamplingData[[#This Row],[Batch by Type (p)]]), 0)</f>
        <v>0</v>
      </c>
    </row>
    <row r="52" spans="1:36" ht="15" customHeight="1" x14ac:dyDescent="0.35">
      <c r="A52" s="98" t="s">
        <v>263</v>
      </c>
      <c r="B52" s="98">
        <v>154</v>
      </c>
      <c r="C52" s="98">
        <v>149</v>
      </c>
      <c r="D52" s="93"/>
      <c r="E52" s="93"/>
      <c r="F52" s="93"/>
      <c r="G52" s="97"/>
      <c r="H52" s="97"/>
      <c r="I52" s="93"/>
      <c r="J52" s="93"/>
      <c r="K52" s="93"/>
      <c r="L52" s="93"/>
      <c r="M52" s="93"/>
      <c r="N52" s="98">
        <v>0</v>
      </c>
      <c r="O52" s="98">
        <v>0</v>
      </c>
      <c r="P52" s="99">
        <f>SUM(SamplingData[[#This Row],[Winning Candidate]:[Under Votes]])</f>
        <v>303</v>
      </c>
      <c r="Q52" s="100">
        <f>IF(AND(SamplingData[[#This Row],[Total]]&lt;&gt; 0, NOT(ISBLANK(SamplingData[[#This Row],[Losing Candidate]]))),(SamplingData[[#This Row],[Total]]+SamplingData[[#This Row],[Winning Candidate]]-SamplingData[[#This Row],[Losing Candidate]])/(SamplingData[[#Totals],[Winning Candidate]]-SamplingData[[#Totals],[Losing Candidate]]), 0)</f>
        <v>0.65116279069767447</v>
      </c>
      <c r="R52" s="100">
        <f>IF(AND(SamplingData[[#This Row],[Total]]&lt;&gt; 0, NOT(ISBLANK(SamplingData[[#This Row],[Candidate 3]]))),(SamplingData[[#This Row],[Total]]+SamplingData[[#This Row],[Winning Candidate]]-SamplingData[[#This Row],[Candidate 3]])/(SamplingData[[#Totals],[Winning Candidate]]-SamplingData[[#Totals],[Candidate 3]]), 0)</f>
        <v>0</v>
      </c>
      <c r="S52" s="100">
        <f>IF(AND(SamplingData[[#This Row],[Total]]&lt;&gt; 0, NOT(ISBLANK(SamplingData[[#This Row],[Candidate 4]]))),(SamplingData[[#This Row],[Total]]+SamplingData[[#This Row],[Winning Candidate]]-SamplingData[[#This Row],[Candidate 4]])/(SamplingData[[#Totals],[Winning Candidate]]-SamplingData[[#Totals],[Candidate 4]]), 0)</f>
        <v>0</v>
      </c>
      <c r="T52" s="100">
        <f>IF(AND(SamplingData[[#This Row],[Total]]&lt;&gt; 0, NOT(ISBLANK(SamplingData[[#This Row],[Candidate 5]]))),(SamplingData[[#This Row],[Total]]+SamplingData[[#This Row],[Winning Candidate]]-SamplingData[[#This Row],[Candidate 5]])/(SamplingData[[#Totals],[Winning Candidate]]-SamplingData[[#Totals],[Candidate 5]]), 0)</f>
        <v>0</v>
      </c>
      <c r="U52" s="100">
        <f>IF(AND(SamplingData[[#This Row],[Total]]&lt;&gt; 0, NOT(ISBLANK(SamplingData[[#This Row],[Candidate 6]]))),(SamplingData[[#This Row],[Total]]+SamplingData[[#This Row],[Losing Candidate]]-SamplingData[[#This Row],[Candidate 6]])/(SamplingData[[#Totals],[Winning Candidate]]-SamplingData[[#Totals],[Candidate 6]]), 0)</f>
        <v>0</v>
      </c>
      <c r="V52" s="100">
        <f>IF(AND(SamplingData[[#This Row],[Total]]&lt;&gt; 0, NOT(ISBLANK(SamplingData[[#This Row],[Candidate 7]]))),(SamplingData[[#This Row],[Total]]+SamplingData[[#This Row],[Winning Candidate]]-SamplingData[[#This Row],[Candidate 7]])/(SamplingData[[#Totals],[Winning Candidate]]-SamplingData[[#Totals],[Candidate 7]]), 0)</f>
        <v>0</v>
      </c>
      <c r="W52" s="100">
        <f>IF(AND(SamplingData[[#This Row],[Total]]&lt;&gt; 0, NOT(ISBLANK(SamplingData[[#This Row],[Candidate 8]]))),(SamplingData[[#This Row],[Total]]+SamplingData[[#This Row],[Winning Candidate]]-SamplingData[[#This Row],[Candidate 8]])/(SamplingData[[#Totals],[Winning Candidate]]-SamplingData[[#Totals],[Candidate 8]]), 0)</f>
        <v>0</v>
      </c>
      <c r="X52"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2"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2"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2"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2" s="100">
        <f>MAX(SamplingData[[#This Row],[Error Bound (up) - Max. possible relative overstatement - Losing Candidate]:[Error Bound (up) - Max. possible relative overstatement - Candidate 12]])</f>
        <v>0.65116279069767447</v>
      </c>
      <c r="AC52" s="100">
        <f>IF(SamplingData[[#This Row],[Max Error Bound (up)]] = 0,0,SamplingData[[#This Row],[Max Error Bound (up)]]/SamplingData[[#Totals],[Max Error Bound (up)]])</f>
        <v>4.8904414099714189E-2</v>
      </c>
      <c r="AD52" s="104">
        <f>SUM($AC$5:AC52)</f>
        <v>0.79453794855509674</v>
      </c>
      <c r="AE52" s="100" t="str" cm="1">
        <f t="array" ref="AE52">IF(SamplingData[[#This Row],[up/U Selection Probability]] = 0, "Zero", TEXT(SamplingData[[#This Row],[Lower Range]], REPT("0",LEN('General Info'!$B$42))) &amp; " - " &amp; TEXT(SamplingData[[#This Row],[Upper Range]], REPT("0",LEN('General Info'!$B$42))))</f>
        <v>746 - 794</v>
      </c>
      <c r="AF52" s="100">
        <f>SamplingData[[#This Row],[Upper Range]]-SamplingData[[#This Row],[Span]]</f>
        <v>745.63353445538246</v>
      </c>
      <c r="AG52" s="100">
        <f>IF(ISNUMBER('General Info'!$B$42), ((SamplingData[[#This Row],[up/U Selection Probability]]) * 'General Info'!$B$44) - 1, 0)</f>
        <v>47.904414099714188</v>
      </c>
      <c r="AH52" s="100">
        <f>IF(ISNUMBER('General Info'!$B$42), (SamplingData[[#This Row],[Running (cumulative) sum]] * ('General Info'!$B$42 -'General Info'!$B$43 + 1)) + 'General Info'!$B$43 - 1, 0)</f>
        <v>793.5379485550967</v>
      </c>
      <c r="AI52" s="100">
        <f>IF(ISERROR(MATCH(SamplingData[[#This Row],[Batch by Type (p)]],SelectedPrecincts[Batch Name], 0)), "", INDEX(SelectedPrecincts[Draw], MATCH(SamplingData[[#This Row],[Batch by Type (p)]],SelectedPrecincts[Batch Name], 0)))</f>
        <v>4</v>
      </c>
      <c r="AJ52" s="101">
        <f>IF(COUNTIF(SelectedPrecincts[Batch Name],SamplingData[[#This Row],[Batch by Type (p)]]) &lt;&gt; 0, COUNTIF(SelectedPrecincts[Batch Name],SamplingData[[#This Row],[Batch by Type (p)]]), 0)</f>
        <v>2</v>
      </c>
    </row>
    <row r="53" spans="1:36" ht="15" customHeight="1" x14ac:dyDescent="0.35">
      <c r="A53" s="98" t="s">
        <v>264</v>
      </c>
      <c r="B53" s="98">
        <v>122</v>
      </c>
      <c r="C53" s="98">
        <v>30</v>
      </c>
      <c r="D53" s="93"/>
      <c r="E53" s="93"/>
      <c r="F53" s="93"/>
      <c r="G53" s="97"/>
      <c r="H53" s="97"/>
      <c r="I53" s="93"/>
      <c r="J53" s="93"/>
      <c r="K53" s="93"/>
      <c r="L53" s="93"/>
      <c r="M53" s="93"/>
      <c r="N53" s="98">
        <v>0</v>
      </c>
      <c r="O53" s="98">
        <v>0</v>
      </c>
      <c r="P53" s="99">
        <f>SUM(SamplingData[[#This Row],[Winning Candidate]:[Under Votes]])</f>
        <v>152</v>
      </c>
      <c r="Q53" s="100">
        <f>IF(AND(SamplingData[[#This Row],[Total]]&lt;&gt; 0, NOT(ISBLANK(SamplingData[[#This Row],[Losing Candidate]]))),(SamplingData[[#This Row],[Total]]+SamplingData[[#This Row],[Winning Candidate]]-SamplingData[[#This Row],[Losing Candidate]])/(SamplingData[[#Totals],[Winning Candidate]]-SamplingData[[#Totals],[Losing Candidate]]), 0)</f>
        <v>0.5158562367864693</v>
      </c>
      <c r="R53" s="100">
        <f>IF(AND(SamplingData[[#This Row],[Total]]&lt;&gt; 0, NOT(ISBLANK(SamplingData[[#This Row],[Candidate 3]]))),(SamplingData[[#This Row],[Total]]+SamplingData[[#This Row],[Winning Candidate]]-SamplingData[[#This Row],[Candidate 3]])/(SamplingData[[#Totals],[Winning Candidate]]-SamplingData[[#Totals],[Candidate 3]]), 0)</f>
        <v>0</v>
      </c>
      <c r="S53" s="100">
        <f>IF(AND(SamplingData[[#This Row],[Total]]&lt;&gt; 0, NOT(ISBLANK(SamplingData[[#This Row],[Candidate 4]]))),(SamplingData[[#This Row],[Total]]+SamplingData[[#This Row],[Winning Candidate]]-SamplingData[[#This Row],[Candidate 4]])/(SamplingData[[#Totals],[Winning Candidate]]-SamplingData[[#Totals],[Candidate 4]]), 0)</f>
        <v>0</v>
      </c>
      <c r="T53" s="100">
        <f>IF(AND(SamplingData[[#This Row],[Total]]&lt;&gt; 0, NOT(ISBLANK(SamplingData[[#This Row],[Candidate 5]]))),(SamplingData[[#This Row],[Total]]+SamplingData[[#This Row],[Winning Candidate]]-SamplingData[[#This Row],[Candidate 5]])/(SamplingData[[#Totals],[Winning Candidate]]-SamplingData[[#Totals],[Candidate 5]]), 0)</f>
        <v>0</v>
      </c>
      <c r="U53" s="100">
        <f>IF(AND(SamplingData[[#This Row],[Total]]&lt;&gt; 0, NOT(ISBLANK(SamplingData[[#This Row],[Candidate 6]]))),(SamplingData[[#This Row],[Total]]+SamplingData[[#This Row],[Losing Candidate]]-SamplingData[[#This Row],[Candidate 6]])/(SamplingData[[#Totals],[Winning Candidate]]-SamplingData[[#Totals],[Candidate 6]]), 0)</f>
        <v>0</v>
      </c>
      <c r="V53" s="100">
        <f>IF(AND(SamplingData[[#This Row],[Total]]&lt;&gt; 0, NOT(ISBLANK(SamplingData[[#This Row],[Candidate 7]]))),(SamplingData[[#This Row],[Total]]+SamplingData[[#This Row],[Winning Candidate]]-SamplingData[[#This Row],[Candidate 7]])/(SamplingData[[#Totals],[Winning Candidate]]-SamplingData[[#Totals],[Candidate 7]]), 0)</f>
        <v>0</v>
      </c>
      <c r="W53" s="100">
        <f>IF(AND(SamplingData[[#This Row],[Total]]&lt;&gt; 0, NOT(ISBLANK(SamplingData[[#This Row],[Candidate 8]]))),(SamplingData[[#This Row],[Total]]+SamplingData[[#This Row],[Winning Candidate]]-SamplingData[[#This Row],[Candidate 8]])/(SamplingData[[#Totals],[Winning Candidate]]-SamplingData[[#Totals],[Candidate 8]]), 0)</f>
        <v>0</v>
      </c>
      <c r="X53"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3"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3"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3"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3" s="100">
        <f>MAX(SamplingData[[#This Row],[Error Bound (up) - Max. possible relative overstatement - Losing Candidate]:[Error Bound (up) - Max. possible relative overstatement - Candidate 12]])</f>
        <v>0.5158562367864693</v>
      </c>
      <c r="AC53" s="100">
        <f>IF(SamplingData[[#This Row],[Max Error Bound (up)]] = 0,0,SamplingData[[#This Row],[Max Error Bound (up)]]/SamplingData[[#Totals],[Max Error Bound (up)]])</f>
        <v>3.8742457923150196E-2</v>
      </c>
      <c r="AD53" s="104">
        <f>SUM($AC$5:AC53)</f>
        <v>0.83328040647824697</v>
      </c>
      <c r="AE53" s="100" t="str" cm="1">
        <f t="array" ref="AE53">IF(SamplingData[[#This Row],[up/U Selection Probability]] = 0, "Zero", TEXT(SamplingData[[#This Row],[Lower Range]], REPT("0",LEN('General Info'!$B$42))) &amp; " - " &amp; TEXT(SamplingData[[#This Row],[Upper Range]], REPT("0",LEN('General Info'!$B$42))))</f>
        <v>795 - 832</v>
      </c>
      <c r="AF53" s="100">
        <f>SamplingData[[#This Row],[Upper Range]]-SamplingData[[#This Row],[Span]]</f>
        <v>794.53794855509682</v>
      </c>
      <c r="AG53" s="100">
        <f>IF(ISNUMBER('General Info'!$B$42), ((SamplingData[[#This Row],[up/U Selection Probability]]) * 'General Info'!$B$44) - 1, 0)</f>
        <v>37.742457923150198</v>
      </c>
      <c r="AH53" s="100">
        <f>IF(ISNUMBER('General Info'!$B$42), (SamplingData[[#This Row],[Running (cumulative) sum]] * ('General Info'!$B$42 -'General Info'!$B$43 + 1)) + 'General Info'!$B$43 - 1, 0)</f>
        <v>832.28040647824696</v>
      </c>
      <c r="AI53" s="100" t="str">
        <f>IF(ISERROR(MATCH(SamplingData[[#This Row],[Batch by Type (p)]],SelectedPrecincts[Batch Name], 0)), "", INDEX(SelectedPrecincts[Draw], MATCH(SamplingData[[#This Row],[Batch by Type (p)]],SelectedPrecincts[Batch Name], 0)))</f>
        <v/>
      </c>
      <c r="AJ53" s="101">
        <f>IF(COUNTIF(SelectedPrecincts[Batch Name],SamplingData[[#This Row],[Batch by Type (p)]]) &lt;&gt; 0, COUNTIF(SelectedPrecincts[Batch Name],SamplingData[[#This Row],[Batch by Type (p)]]), 0)</f>
        <v>0</v>
      </c>
    </row>
    <row r="54" spans="1:36" ht="15" customHeight="1" x14ac:dyDescent="0.35">
      <c r="A54" s="98" t="s">
        <v>265</v>
      </c>
      <c r="B54" s="98">
        <v>62</v>
      </c>
      <c r="C54" s="98">
        <v>13</v>
      </c>
      <c r="D54" s="93"/>
      <c r="E54" s="93"/>
      <c r="F54" s="93"/>
      <c r="G54" s="97"/>
      <c r="H54" s="97"/>
      <c r="I54" s="93"/>
      <c r="J54" s="93"/>
      <c r="K54" s="93"/>
      <c r="L54" s="93"/>
      <c r="M54" s="93"/>
      <c r="N54" s="98">
        <v>0</v>
      </c>
      <c r="O54" s="98">
        <v>0</v>
      </c>
      <c r="P54" s="99">
        <f>SUM(SamplingData[[#This Row],[Winning Candidate]:[Under Votes]])</f>
        <v>75</v>
      </c>
      <c r="Q54" s="100">
        <f>IF(AND(SamplingData[[#This Row],[Total]]&lt;&gt; 0, NOT(ISBLANK(SamplingData[[#This Row],[Losing Candidate]]))),(SamplingData[[#This Row],[Total]]+SamplingData[[#This Row],[Winning Candidate]]-SamplingData[[#This Row],[Losing Candidate]])/(SamplingData[[#Totals],[Winning Candidate]]-SamplingData[[#Totals],[Losing Candidate]]), 0)</f>
        <v>0.26215644820295986</v>
      </c>
      <c r="R54" s="100">
        <f>IF(AND(SamplingData[[#This Row],[Total]]&lt;&gt; 0, NOT(ISBLANK(SamplingData[[#This Row],[Candidate 3]]))),(SamplingData[[#This Row],[Total]]+SamplingData[[#This Row],[Winning Candidate]]-SamplingData[[#This Row],[Candidate 3]])/(SamplingData[[#Totals],[Winning Candidate]]-SamplingData[[#Totals],[Candidate 3]]), 0)</f>
        <v>0</v>
      </c>
      <c r="S54" s="100">
        <f>IF(AND(SamplingData[[#This Row],[Total]]&lt;&gt; 0, NOT(ISBLANK(SamplingData[[#This Row],[Candidate 4]]))),(SamplingData[[#This Row],[Total]]+SamplingData[[#This Row],[Winning Candidate]]-SamplingData[[#This Row],[Candidate 4]])/(SamplingData[[#Totals],[Winning Candidate]]-SamplingData[[#Totals],[Candidate 4]]), 0)</f>
        <v>0</v>
      </c>
      <c r="T54" s="100">
        <f>IF(AND(SamplingData[[#This Row],[Total]]&lt;&gt; 0, NOT(ISBLANK(SamplingData[[#This Row],[Candidate 5]]))),(SamplingData[[#This Row],[Total]]+SamplingData[[#This Row],[Winning Candidate]]-SamplingData[[#This Row],[Candidate 5]])/(SamplingData[[#Totals],[Winning Candidate]]-SamplingData[[#Totals],[Candidate 5]]), 0)</f>
        <v>0</v>
      </c>
      <c r="U54" s="100">
        <f>IF(AND(SamplingData[[#This Row],[Total]]&lt;&gt; 0, NOT(ISBLANK(SamplingData[[#This Row],[Candidate 6]]))),(SamplingData[[#This Row],[Total]]+SamplingData[[#This Row],[Losing Candidate]]-SamplingData[[#This Row],[Candidate 6]])/(SamplingData[[#Totals],[Winning Candidate]]-SamplingData[[#Totals],[Candidate 6]]), 0)</f>
        <v>0</v>
      </c>
      <c r="V54" s="100">
        <f>IF(AND(SamplingData[[#This Row],[Total]]&lt;&gt; 0, NOT(ISBLANK(SamplingData[[#This Row],[Candidate 7]]))),(SamplingData[[#This Row],[Total]]+SamplingData[[#This Row],[Winning Candidate]]-SamplingData[[#This Row],[Candidate 7]])/(SamplingData[[#Totals],[Winning Candidate]]-SamplingData[[#Totals],[Candidate 7]]), 0)</f>
        <v>0</v>
      </c>
      <c r="W54" s="100">
        <f>IF(AND(SamplingData[[#This Row],[Total]]&lt;&gt; 0, NOT(ISBLANK(SamplingData[[#This Row],[Candidate 8]]))),(SamplingData[[#This Row],[Total]]+SamplingData[[#This Row],[Winning Candidate]]-SamplingData[[#This Row],[Candidate 8]])/(SamplingData[[#Totals],[Winning Candidate]]-SamplingData[[#Totals],[Candidate 8]]), 0)</f>
        <v>0</v>
      </c>
      <c r="X54"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4"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4"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4"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4" s="100">
        <f>MAX(SamplingData[[#This Row],[Error Bound (up) - Max. possible relative overstatement - Losing Candidate]:[Error Bound (up) - Max. possible relative overstatement - Candidate 12]])</f>
        <v>0.26215644820295986</v>
      </c>
      <c r="AC54" s="100">
        <f>IF(SamplingData[[#This Row],[Max Error Bound (up)]] = 0,0,SamplingData[[#This Row],[Max Error Bound (up)]]/SamplingData[[#Totals],[Max Error Bound (up)]])</f>
        <v>1.9688790092092727E-2</v>
      </c>
      <c r="AD54" s="104">
        <f>SUM($AC$5:AC54)</f>
        <v>0.85296919657033965</v>
      </c>
      <c r="AE54" s="100" t="str" cm="1">
        <f t="array" ref="AE54">IF(SamplingData[[#This Row],[up/U Selection Probability]] = 0, "Zero", TEXT(SamplingData[[#This Row],[Lower Range]], REPT("0",LEN('General Info'!$B$42))) &amp; " - " &amp; TEXT(SamplingData[[#This Row],[Upper Range]], REPT("0",LEN('General Info'!$B$42))))</f>
        <v>833 - 852</v>
      </c>
      <c r="AF54" s="100">
        <f>SamplingData[[#This Row],[Upper Range]]-SamplingData[[#This Row],[Span]]</f>
        <v>833.28040647824696</v>
      </c>
      <c r="AG54" s="100">
        <f>IF(ISNUMBER('General Info'!$B$42), ((SamplingData[[#This Row],[up/U Selection Probability]]) * 'General Info'!$B$44) - 1, 0)</f>
        <v>18.688790092092727</v>
      </c>
      <c r="AH54" s="100">
        <f>IF(ISNUMBER('General Info'!$B$42), (SamplingData[[#This Row],[Running (cumulative) sum]] * ('General Info'!$B$42 -'General Info'!$B$43 + 1)) + 'General Info'!$B$43 - 1, 0)</f>
        <v>851.9691965703397</v>
      </c>
      <c r="AI54" s="100" t="str">
        <f>IF(ISERROR(MATCH(SamplingData[[#This Row],[Batch by Type (p)]],SelectedPrecincts[Batch Name], 0)), "", INDEX(SelectedPrecincts[Draw], MATCH(SamplingData[[#This Row],[Batch by Type (p)]],SelectedPrecincts[Batch Name], 0)))</f>
        <v/>
      </c>
      <c r="AJ54" s="101">
        <f>IF(COUNTIF(SelectedPrecincts[Batch Name],SamplingData[[#This Row],[Batch by Type (p)]]) &lt;&gt; 0, COUNTIF(SelectedPrecincts[Batch Name],SamplingData[[#This Row],[Batch by Type (p)]]), 0)</f>
        <v>0</v>
      </c>
    </row>
    <row r="55" spans="1:36" ht="15" customHeight="1" x14ac:dyDescent="0.35">
      <c r="A55" s="98" t="s">
        <v>266</v>
      </c>
      <c r="B55" s="98">
        <v>32</v>
      </c>
      <c r="C55" s="98">
        <v>17</v>
      </c>
      <c r="D55" s="93"/>
      <c r="E55" s="93"/>
      <c r="F55" s="93"/>
      <c r="G55" s="97"/>
      <c r="H55" s="97"/>
      <c r="I55" s="93"/>
      <c r="J55" s="93"/>
      <c r="K55" s="93"/>
      <c r="L55" s="93"/>
      <c r="M55" s="93"/>
      <c r="N55" s="98">
        <v>0</v>
      </c>
      <c r="O55" s="98">
        <v>0</v>
      </c>
      <c r="P55" s="99">
        <f>SUM(SamplingData[[#This Row],[Winning Candidate]:[Under Votes]])</f>
        <v>49</v>
      </c>
      <c r="Q55" s="100">
        <f>IF(AND(SamplingData[[#This Row],[Total]]&lt;&gt; 0, NOT(ISBLANK(SamplingData[[#This Row],[Losing Candidate]]))),(SamplingData[[#This Row],[Total]]+SamplingData[[#This Row],[Winning Candidate]]-SamplingData[[#This Row],[Losing Candidate]])/(SamplingData[[#Totals],[Winning Candidate]]-SamplingData[[#Totals],[Losing Candidate]]), 0)</f>
        <v>0.13530655391120508</v>
      </c>
      <c r="R55" s="100">
        <f>IF(AND(SamplingData[[#This Row],[Total]]&lt;&gt; 0, NOT(ISBLANK(SamplingData[[#This Row],[Candidate 3]]))),(SamplingData[[#This Row],[Total]]+SamplingData[[#This Row],[Winning Candidate]]-SamplingData[[#This Row],[Candidate 3]])/(SamplingData[[#Totals],[Winning Candidate]]-SamplingData[[#Totals],[Candidate 3]]), 0)</f>
        <v>0</v>
      </c>
      <c r="S55" s="100">
        <f>IF(AND(SamplingData[[#This Row],[Total]]&lt;&gt; 0, NOT(ISBLANK(SamplingData[[#This Row],[Candidate 4]]))),(SamplingData[[#This Row],[Total]]+SamplingData[[#This Row],[Winning Candidate]]-SamplingData[[#This Row],[Candidate 4]])/(SamplingData[[#Totals],[Winning Candidate]]-SamplingData[[#Totals],[Candidate 4]]), 0)</f>
        <v>0</v>
      </c>
      <c r="T55" s="100">
        <f>IF(AND(SamplingData[[#This Row],[Total]]&lt;&gt; 0, NOT(ISBLANK(SamplingData[[#This Row],[Candidate 5]]))),(SamplingData[[#This Row],[Total]]+SamplingData[[#This Row],[Winning Candidate]]-SamplingData[[#This Row],[Candidate 5]])/(SamplingData[[#Totals],[Winning Candidate]]-SamplingData[[#Totals],[Candidate 5]]), 0)</f>
        <v>0</v>
      </c>
      <c r="U55" s="100">
        <f>IF(AND(SamplingData[[#This Row],[Total]]&lt;&gt; 0, NOT(ISBLANK(SamplingData[[#This Row],[Candidate 6]]))),(SamplingData[[#This Row],[Total]]+SamplingData[[#This Row],[Losing Candidate]]-SamplingData[[#This Row],[Candidate 6]])/(SamplingData[[#Totals],[Winning Candidate]]-SamplingData[[#Totals],[Candidate 6]]), 0)</f>
        <v>0</v>
      </c>
      <c r="V55" s="100">
        <f>IF(AND(SamplingData[[#This Row],[Total]]&lt;&gt; 0, NOT(ISBLANK(SamplingData[[#This Row],[Candidate 7]]))),(SamplingData[[#This Row],[Total]]+SamplingData[[#This Row],[Winning Candidate]]-SamplingData[[#This Row],[Candidate 7]])/(SamplingData[[#Totals],[Winning Candidate]]-SamplingData[[#Totals],[Candidate 7]]), 0)</f>
        <v>0</v>
      </c>
      <c r="W55" s="100">
        <f>IF(AND(SamplingData[[#This Row],[Total]]&lt;&gt; 0, NOT(ISBLANK(SamplingData[[#This Row],[Candidate 8]]))),(SamplingData[[#This Row],[Total]]+SamplingData[[#This Row],[Winning Candidate]]-SamplingData[[#This Row],[Candidate 8]])/(SamplingData[[#Totals],[Winning Candidate]]-SamplingData[[#Totals],[Candidate 8]]), 0)</f>
        <v>0</v>
      </c>
      <c r="X55"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5"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5"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5"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5" s="100">
        <f>MAX(SamplingData[[#This Row],[Error Bound (up) - Max. possible relative overstatement - Losing Candidate]:[Error Bound (up) - Max. possible relative overstatement - Candidate 12]])</f>
        <v>0.13530655391120508</v>
      </c>
      <c r="AC55" s="100">
        <f>IF(SamplingData[[#This Row],[Max Error Bound (up)]] = 0,0,SamplingData[[#This Row],[Max Error Bound (up)]]/SamplingData[[#Totals],[Max Error Bound (up)]])</f>
        <v>1.0161956176563987E-2</v>
      </c>
      <c r="AD55" s="104">
        <f>SUM($AC$5:AC55)</f>
        <v>0.86313115274690366</v>
      </c>
      <c r="AE55" s="100" t="str" cm="1">
        <f t="array" ref="AE55">IF(SamplingData[[#This Row],[up/U Selection Probability]] = 0, "Zero", TEXT(SamplingData[[#This Row],[Lower Range]], REPT("0",LEN('General Info'!$B$42))) &amp; " - " &amp; TEXT(SamplingData[[#This Row],[Upper Range]], REPT("0",LEN('General Info'!$B$42))))</f>
        <v>853 - 862</v>
      </c>
      <c r="AF55" s="100">
        <f>SamplingData[[#This Row],[Upper Range]]-SamplingData[[#This Row],[Span]]</f>
        <v>852.9691965703397</v>
      </c>
      <c r="AG55" s="100">
        <f>IF(ISNUMBER('General Info'!$B$42), ((SamplingData[[#This Row],[up/U Selection Probability]]) * 'General Info'!$B$44) - 1, 0)</f>
        <v>9.1619561765639865</v>
      </c>
      <c r="AH55" s="100">
        <f>IF(ISNUMBER('General Info'!$B$42), (SamplingData[[#This Row],[Running (cumulative) sum]] * ('General Info'!$B$42 -'General Info'!$B$43 + 1)) + 'General Info'!$B$43 - 1, 0)</f>
        <v>862.13115274690369</v>
      </c>
      <c r="AI55" s="100" t="str">
        <f>IF(ISERROR(MATCH(SamplingData[[#This Row],[Batch by Type (p)]],SelectedPrecincts[Batch Name], 0)), "", INDEX(SelectedPrecincts[Draw], MATCH(SamplingData[[#This Row],[Batch by Type (p)]],SelectedPrecincts[Batch Name], 0)))</f>
        <v/>
      </c>
      <c r="AJ55" s="101">
        <f>IF(COUNTIF(SelectedPrecincts[Batch Name],SamplingData[[#This Row],[Batch by Type (p)]]) &lt;&gt; 0, COUNTIF(SelectedPrecincts[Batch Name],SamplingData[[#This Row],[Batch by Type (p)]]), 0)</f>
        <v>0</v>
      </c>
    </row>
    <row r="56" spans="1:36" ht="15" customHeight="1" x14ac:dyDescent="0.35">
      <c r="A56" s="98" t="s">
        <v>267</v>
      </c>
      <c r="B56" s="98">
        <v>71</v>
      </c>
      <c r="C56" s="98">
        <v>162</v>
      </c>
      <c r="D56" s="93"/>
      <c r="E56" s="93"/>
      <c r="F56" s="93"/>
      <c r="G56" s="97"/>
      <c r="H56" s="97"/>
      <c r="I56" s="93"/>
      <c r="J56" s="93"/>
      <c r="K56" s="93"/>
      <c r="L56" s="93"/>
      <c r="M56" s="93"/>
      <c r="N56" s="98">
        <v>0</v>
      </c>
      <c r="O56" s="98">
        <v>0</v>
      </c>
      <c r="P56" s="99">
        <f>SUM(SamplingData[[#This Row],[Winning Candidate]:[Under Votes]])</f>
        <v>233</v>
      </c>
      <c r="Q56" s="100">
        <f>IF(AND(SamplingData[[#This Row],[Total]]&lt;&gt; 0, NOT(ISBLANK(SamplingData[[#This Row],[Losing Candidate]]))),(SamplingData[[#This Row],[Total]]+SamplingData[[#This Row],[Winning Candidate]]-SamplingData[[#This Row],[Losing Candidate]])/(SamplingData[[#Totals],[Winning Candidate]]-SamplingData[[#Totals],[Losing Candidate]]), 0)</f>
        <v>0.30021141649048627</v>
      </c>
      <c r="R56" s="100">
        <f>IF(AND(SamplingData[[#This Row],[Total]]&lt;&gt; 0, NOT(ISBLANK(SamplingData[[#This Row],[Candidate 3]]))),(SamplingData[[#This Row],[Total]]+SamplingData[[#This Row],[Winning Candidate]]-SamplingData[[#This Row],[Candidate 3]])/(SamplingData[[#Totals],[Winning Candidate]]-SamplingData[[#Totals],[Candidate 3]]), 0)</f>
        <v>0</v>
      </c>
      <c r="S56" s="100">
        <f>IF(AND(SamplingData[[#This Row],[Total]]&lt;&gt; 0, NOT(ISBLANK(SamplingData[[#This Row],[Candidate 4]]))),(SamplingData[[#This Row],[Total]]+SamplingData[[#This Row],[Winning Candidate]]-SamplingData[[#This Row],[Candidate 4]])/(SamplingData[[#Totals],[Winning Candidate]]-SamplingData[[#Totals],[Candidate 4]]), 0)</f>
        <v>0</v>
      </c>
      <c r="T56" s="100">
        <f>IF(AND(SamplingData[[#This Row],[Total]]&lt;&gt; 0, NOT(ISBLANK(SamplingData[[#This Row],[Candidate 5]]))),(SamplingData[[#This Row],[Total]]+SamplingData[[#This Row],[Winning Candidate]]-SamplingData[[#This Row],[Candidate 5]])/(SamplingData[[#Totals],[Winning Candidate]]-SamplingData[[#Totals],[Candidate 5]]), 0)</f>
        <v>0</v>
      </c>
      <c r="U56" s="100">
        <f>IF(AND(SamplingData[[#This Row],[Total]]&lt;&gt; 0, NOT(ISBLANK(SamplingData[[#This Row],[Candidate 6]]))),(SamplingData[[#This Row],[Total]]+SamplingData[[#This Row],[Losing Candidate]]-SamplingData[[#This Row],[Candidate 6]])/(SamplingData[[#Totals],[Winning Candidate]]-SamplingData[[#Totals],[Candidate 6]]), 0)</f>
        <v>0</v>
      </c>
      <c r="V56" s="100">
        <f>IF(AND(SamplingData[[#This Row],[Total]]&lt;&gt; 0, NOT(ISBLANK(SamplingData[[#This Row],[Candidate 7]]))),(SamplingData[[#This Row],[Total]]+SamplingData[[#This Row],[Winning Candidate]]-SamplingData[[#This Row],[Candidate 7]])/(SamplingData[[#Totals],[Winning Candidate]]-SamplingData[[#Totals],[Candidate 7]]), 0)</f>
        <v>0</v>
      </c>
      <c r="W56" s="100">
        <f>IF(AND(SamplingData[[#This Row],[Total]]&lt;&gt; 0, NOT(ISBLANK(SamplingData[[#This Row],[Candidate 8]]))),(SamplingData[[#This Row],[Total]]+SamplingData[[#This Row],[Winning Candidate]]-SamplingData[[#This Row],[Candidate 8]])/(SamplingData[[#Totals],[Winning Candidate]]-SamplingData[[#Totals],[Candidate 8]]), 0)</f>
        <v>0</v>
      </c>
      <c r="X56"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6"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6"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6"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6" s="100">
        <f>MAX(SamplingData[[#This Row],[Error Bound (up) - Max. possible relative overstatement - Losing Candidate]:[Error Bound (up) - Max. possible relative overstatement - Candidate 12]])</f>
        <v>0.30021141649048627</v>
      </c>
      <c r="AC56" s="100">
        <f>IF(SamplingData[[#This Row],[Max Error Bound (up)]] = 0,0,SamplingData[[#This Row],[Max Error Bound (up)]]/SamplingData[[#Totals],[Max Error Bound (up)]])</f>
        <v>2.2546840266751349E-2</v>
      </c>
      <c r="AD56" s="104">
        <f>SUM($AC$5:AC56)</f>
        <v>0.88567799301365502</v>
      </c>
      <c r="AE56" s="100" t="str" cm="1">
        <f t="array" ref="AE56">IF(SamplingData[[#This Row],[up/U Selection Probability]] = 0, "Zero", TEXT(SamplingData[[#This Row],[Lower Range]], REPT("0",LEN('General Info'!$B$42))) &amp; " - " &amp; TEXT(SamplingData[[#This Row],[Upper Range]], REPT("0",LEN('General Info'!$B$42))))</f>
        <v>863 - 885</v>
      </c>
      <c r="AF56" s="100">
        <f>SamplingData[[#This Row],[Upper Range]]-SamplingData[[#This Row],[Span]]</f>
        <v>863.13115274690369</v>
      </c>
      <c r="AG56" s="100">
        <f>IF(ISNUMBER('General Info'!$B$42), ((SamplingData[[#This Row],[up/U Selection Probability]]) * 'General Info'!$B$44) - 1, 0)</f>
        <v>21.546840266751349</v>
      </c>
      <c r="AH56" s="100">
        <f>IF(ISNUMBER('General Info'!$B$42), (SamplingData[[#This Row],[Running (cumulative) sum]] * ('General Info'!$B$42 -'General Info'!$B$43 + 1)) + 'General Info'!$B$43 - 1, 0)</f>
        <v>884.67799301365505</v>
      </c>
      <c r="AI56" s="100" t="str">
        <f>IF(ISERROR(MATCH(SamplingData[[#This Row],[Batch by Type (p)]],SelectedPrecincts[Batch Name], 0)), "", INDEX(SelectedPrecincts[Draw], MATCH(SamplingData[[#This Row],[Batch by Type (p)]],SelectedPrecincts[Batch Name], 0)))</f>
        <v/>
      </c>
      <c r="AJ56" s="101">
        <f>IF(COUNTIF(SelectedPrecincts[Batch Name],SamplingData[[#This Row],[Batch by Type (p)]]) &lt;&gt; 0, COUNTIF(SelectedPrecincts[Batch Name],SamplingData[[#This Row],[Batch by Type (p)]]), 0)</f>
        <v>0</v>
      </c>
    </row>
    <row r="57" spans="1:36" ht="15" customHeight="1" x14ac:dyDescent="0.35">
      <c r="A57" s="98" t="s">
        <v>268</v>
      </c>
      <c r="B57" s="98">
        <v>34</v>
      </c>
      <c r="C57" s="98">
        <v>50</v>
      </c>
      <c r="D57" s="93"/>
      <c r="E57" s="93"/>
      <c r="F57" s="93"/>
      <c r="G57" s="97"/>
      <c r="H57" s="97"/>
      <c r="I57" s="93"/>
      <c r="J57" s="93"/>
      <c r="K57" s="93"/>
      <c r="L57" s="93"/>
      <c r="M57" s="93"/>
      <c r="N57" s="98">
        <v>0</v>
      </c>
      <c r="O57" s="98">
        <v>0</v>
      </c>
      <c r="P57" s="99">
        <f>SUM(SamplingData[[#This Row],[Winning Candidate]:[Under Votes]])</f>
        <v>84</v>
      </c>
      <c r="Q57" s="100">
        <f>IF(AND(SamplingData[[#This Row],[Total]]&lt;&gt; 0, NOT(ISBLANK(SamplingData[[#This Row],[Losing Candidate]]))),(SamplingData[[#This Row],[Total]]+SamplingData[[#This Row],[Winning Candidate]]-SamplingData[[#This Row],[Losing Candidate]])/(SamplingData[[#Totals],[Winning Candidate]]-SamplingData[[#Totals],[Losing Candidate]]), 0)</f>
        <v>0.14376321353065538</v>
      </c>
      <c r="R57" s="100">
        <f>IF(AND(SamplingData[[#This Row],[Total]]&lt;&gt; 0, NOT(ISBLANK(SamplingData[[#This Row],[Candidate 3]]))),(SamplingData[[#This Row],[Total]]+SamplingData[[#This Row],[Winning Candidate]]-SamplingData[[#This Row],[Candidate 3]])/(SamplingData[[#Totals],[Winning Candidate]]-SamplingData[[#Totals],[Candidate 3]]), 0)</f>
        <v>0</v>
      </c>
      <c r="S57" s="100">
        <f>IF(AND(SamplingData[[#This Row],[Total]]&lt;&gt; 0, NOT(ISBLANK(SamplingData[[#This Row],[Candidate 4]]))),(SamplingData[[#This Row],[Total]]+SamplingData[[#This Row],[Winning Candidate]]-SamplingData[[#This Row],[Candidate 4]])/(SamplingData[[#Totals],[Winning Candidate]]-SamplingData[[#Totals],[Candidate 4]]), 0)</f>
        <v>0</v>
      </c>
      <c r="T57" s="100">
        <f>IF(AND(SamplingData[[#This Row],[Total]]&lt;&gt; 0, NOT(ISBLANK(SamplingData[[#This Row],[Candidate 5]]))),(SamplingData[[#This Row],[Total]]+SamplingData[[#This Row],[Winning Candidate]]-SamplingData[[#This Row],[Candidate 5]])/(SamplingData[[#Totals],[Winning Candidate]]-SamplingData[[#Totals],[Candidate 5]]), 0)</f>
        <v>0</v>
      </c>
      <c r="U57" s="100">
        <f>IF(AND(SamplingData[[#This Row],[Total]]&lt;&gt; 0, NOT(ISBLANK(SamplingData[[#This Row],[Candidate 6]]))),(SamplingData[[#This Row],[Total]]+SamplingData[[#This Row],[Losing Candidate]]-SamplingData[[#This Row],[Candidate 6]])/(SamplingData[[#Totals],[Winning Candidate]]-SamplingData[[#Totals],[Candidate 6]]), 0)</f>
        <v>0</v>
      </c>
      <c r="V57" s="100">
        <f>IF(AND(SamplingData[[#This Row],[Total]]&lt;&gt; 0, NOT(ISBLANK(SamplingData[[#This Row],[Candidate 7]]))),(SamplingData[[#This Row],[Total]]+SamplingData[[#This Row],[Winning Candidate]]-SamplingData[[#This Row],[Candidate 7]])/(SamplingData[[#Totals],[Winning Candidate]]-SamplingData[[#Totals],[Candidate 7]]), 0)</f>
        <v>0</v>
      </c>
      <c r="W57" s="100">
        <f>IF(AND(SamplingData[[#This Row],[Total]]&lt;&gt; 0, NOT(ISBLANK(SamplingData[[#This Row],[Candidate 8]]))),(SamplingData[[#This Row],[Total]]+SamplingData[[#This Row],[Winning Candidate]]-SamplingData[[#This Row],[Candidate 8]])/(SamplingData[[#Totals],[Winning Candidate]]-SamplingData[[#Totals],[Candidate 8]]), 0)</f>
        <v>0</v>
      </c>
      <c r="X57"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7"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7"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7"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7" s="100">
        <f>MAX(SamplingData[[#This Row],[Error Bound (up) - Max. possible relative overstatement - Losing Candidate]:[Error Bound (up) - Max. possible relative overstatement - Candidate 12]])</f>
        <v>0.14376321353065538</v>
      </c>
      <c r="AC57" s="100">
        <f>IF(SamplingData[[#This Row],[Max Error Bound (up)]] = 0,0,SamplingData[[#This Row],[Max Error Bound (up)]]/SamplingData[[#Totals],[Max Error Bound (up)]])</f>
        <v>1.0797078437599236E-2</v>
      </c>
      <c r="AD57" s="104">
        <f>SUM($AC$5:AC57)</f>
        <v>0.89647507145125427</v>
      </c>
      <c r="AE57" s="100" t="str" cm="1">
        <f t="array" ref="AE57">IF(SamplingData[[#This Row],[up/U Selection Probability]] = 0, "Zero", TEXT(SamplingData[[#This Row],[Lower Range]], REPT("0",LEN('General Info'!$B$42))) &amp; " - " &amp; TEXT(SamplingData[[#This Row],[Upper Range]], REPT("0",LEN('General Info'!$B$42))))</f>
        <v>886 - 895</v>
      </c>
      <c r="AF57" s="100">
        <f>SamplingData[[#This Row],[Upper Range]]-SamplingData[[#This Row],[Span]]</f>
        <v>885.67799301365505</v>
      </c>
      <c r="AG57" s="100">
        <f>IF(ISNUMBER('General Info'!$B$42), ((SamplingData[[#This Row],[up/U Selection Probability]]) * 'General Info'!$B$44) - 1, 0)</f>
        <v>9.7970784375992359</v>
      </c>
      <c r="AH57" s="100">
        <f>IF(ISNUMBER('General Info'!$B$42), (SamplingData[[#This Row],[Running (cumulative) sum]] * ('General Info'!$B$42 -'General Info'!$B$43 + 1)) + 'General Info'!$B$43 - 1, 0)</f>
        <v>895.47507145125428</v>
      </c>
      <c r="AI57" s="100" t="str">
        <f>IF(ISERROR(MATCH(SamplingData[[#This Row],[Batch by Type (p)]],SelectedPrecincts[Batch Name], 0)), "", INDEX(SelectedPrecincts[Draw], MATCH(SamplingData[[#This Row],[Batch by Type (p)]],SelectedPrecincts[Batch Name], 0)))</f>
        <v/>
      </c>
      <c r="AJ57" s="101">
        <f>IF(COUNTIF(SelectedPrecincts[Batch Name],SamplingData[[#This Row],[Batch by Type (p)]]) &lt;&gt; 0, COUNTIF(SelectedPrecincts[Batch Name],SamplingData[[#This Row],[Batch by Type (p)]]), 0)</f>
        <v>0</v>
      </c>
    </row>
    <row r="58" spans="1:36" ht="15" customHeight="1" x14ac:dyDescent="0.35">
      <c r="A58" s="98" t="s">
        <v>269</v>
      </c>
      <c r="B58" s="98">
        <v>81</v>
      </c>
      <c r="C58" s="98">
        <v>115</v>
      </c>
      <c r="D58" s="93"/>
      <c r="E58" s="93"/>
      <c r="F58" s="93"/>
      <c r="G58" s="97"/>
      <c r="H58" s="97"/>
      <c r="I58" s="93"/>
      <c r="J58" s="93"/>
      <c r="K58" s="93"/>
      <c r="L58" s="93"/>
      <c r="M58" s="93"/>
      <c r="N58" s="98">
        <v>0</v>
      </c>
      <c r="O58" s="98">
        <v>0</v>
      </c>
      <c r="P58" s="99">
        <f>SUM(SamplingData[[#This Row],[Winning Candidate]:[Under Votes]])</f>
        <v>196</v>
      </c>
      <c r="Q58" s="100">
        <f>IF(AND(SamplingData[[#This Row],[Total]]&lt;&gt; 0, NOT(ISBLANK(SamplingData[[#This Row],[Losing Candidate]]))),(SamplingData[[#This Row],[Total]]+SamplingData[[#This Row],[Winning Candidate]]-SamplingData[[#This Row],[Losing Candidate]])/(SamplingData[[#Totals],[Winning Candidate]]-SamplingData[[#Totals],[Losing Candidate]]), 0)</f>
        <v>0.34249471458773784</v>
      </c>
      <c r="R58" s="100">
        <f>IF(AND(SamplingData[[#This Row],[Total]]&lt;&gt; 0, NOT(ISBLANK(SamplingData[[#This Row],[Candidate 3]]))),(SamplingData[[#This Row],[Total]]+SamplingData[[#This Row],[Winning Candidate]]-SamplingData[[#This Row],[Candidate 3]])/(SamplingData[[#Totals],[Winning Candidate]]-SamplingData[[#Totals],[Candidate 3]]), 0)</f>
        <v>0</v>
      </c>
      <c r="S58" s="100">
        <f>IF(AND(SamplingData[[#This Row],[Total]]&lt;&gt; 0, NOT(ISBLANK(SamplingData[[#This Row],[Candidate 4]]))),(SamplingData[[#This Row],[Total]]+SamplingData[[#This Row],[Winning Candidate]]-SamplingData[[#This Row],[Candidate 4]])/(SamplingData[[#Totals],[Winning Candidate]]-SamplingData[[#Totals],[Candidate 4]]), 0)</f>
        <v>0</v>
      </c>
      <c r="T58" s="100">
        <f>IF(AND(SamplingData[[#This Row],[Total]]&lt;&gt; 0, NOT(ISBLANK(SamplingData[[#This Row],[Candidate 5]]))),(SamplingData[[#This Row],[Total]]+SamplingData[[#This Row],[Winning Candidate]]-SamplingData[[#This Row],[Candidate 5]])/(SamplingData[[#Totals],[Winning Candidate]]-SamplingData[[#Totals],[Candidate 5]]), 0)</f>
        <v>0</v>
      </c>
      <c r="U58" s="100">
        <f>IF(AND(SamplingData[[#This Row],[Total]]&lt;&gt; 0, NOT(ISBLANK(SamplingData[[#This Row],[Candidate 6]]))),(SamplingData[[#This Row],[Total]]+SamplingData[[#This Row],[Losing Candidate]]-SamplingData[[#This Row],[Candidate 6]])/(SamplingData[[#Totals],[Winning Candidate]]-SamplingData[[#Totals],[Candidate 6]]), 0)</f>
        <v>0</v>
      </c>
      <c r="V58" s="100">
        <f>IF(AND(SamplingData[[#This Row],[Total]]&lt;&gt; 0, NOT(ISBLANK(SamplingData[[#This Row],[Candidate 7]]))),(SamplingData[[#This Row],[Total]]+SamplingData[[#This Row],[Winning Candidate]]-SamplingData[[#This Row],[Candidate 7]])/(SamplingData[[#Totals],[Winning Candidate]]-SamplingData[[#Totals],[Candidate 7]]), 0)</f>
        <v>0</v>
      </c>
      <c r="W58" s="100">
        <f>IF(AND(SamplingData[[#This Row],[Total]]&lt;&gt; 0, NOT(ISBLANK(SamplingData[[#This Row],[Candidate 8]]))),(SamplingData[[#This Row],[Total]]+SamplingData[[#This Row],[Winning Candidate]]-SamplingData[[#This Row],[Candidate 8]])/(SamplingData[[#Totals],[Winning Candidate]]-SamplingData[[#Totals],[Candidate 8]]), 0)</f>
        <v>0</v>
      </c>
      <c r="X58"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8"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8"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8"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8" s="100">
        <f>MAX(SamplingData[[#This Row],[Error Bound (up) - Max. possible relative overstatement - Losing Candidate]:[Error Bound (up) - Max. possible relative overstatement - Candidate 12]])</f>
        <v>0.34249471458773784</v>
      </c>
      <c r="AC58" s="100">
        <f>IF(SamplingData[[#This Row],[Max Error Bound (up)]] = 0,0,SamplingData[[#This Row],[Max Error Bound (up)]]/SamplingData[[#Totals],[Max Error Bound (up)]])</f>
        <v>2.5722451571927592E-2</v>
      </c>
      <c r="AD58" s="104">
        <f>SUM($AC$5:AC58)</f>
        <v>0.92219752302318181</v>
      </c>
      <c r="AE58" s="100" t="str" cm="1">
        <f t="array" ref="AE58">IF(SamplingData[[#This Row],[up/U Selection Probability]] = 0, "Zero", TEXT(SamplingData[[#This Row],[Lower Range]], REPT("0",LEN('General Info'!$B$42))) &amp; " - " &amp; TEXT(SamplingData[[#This Row],[Upper Range]], REPT("0",LEN('General Info'!$B$42))))</f>
        <v>896 - 921</v>
      </c>
      <c r="AF58" s="100">
        <f>SamplingData[[#This Row],[Upper Range]]-SamplingData[[#This Row],[Span]]</f>
        <v>896.47507145125428</v>
      </c>
      <c r="AG58" s="100">
        <f>IF(ISNUMBER('General Info'!$B$42), ((SamplingData[[#This Row],[up/U Selection Probability]]) * 'General Info'!$B$44) - 1, 0)</f>
        <v>24.722451571927593</v>
      </c>
      <c r="AH58" s="100">
        <f>IF(ISNUMBER('General Info'!$B$42), (SamplingData[[#This Row],[Running (cumulative) sum]] * ('General Info'!$B$42 -'General Info'!$B$43 + 1)) + 'General Info'!$B$43 - 1, 0)</f>
        <v>921.19752302318182</v>
      </c>
      <c r="AI58" s="100">
        <f>IF(ISERROR(MATCH(SamplingData[[#This Row],[Batch by Type (p)]],SelectedPrecincts[Batch Name], 0)), "", INDEX(SelectedPrecincts[Draw], MATCH(SamplingData[[#This Row],[Batch by Type (p)]],SelectedPrecincts[Batch Name], 0)))</f>
        <v>1</v>
      </c>
      <c r="AJ58" s="101">
        <f>IF(COUNTIF(SelectedPrecincts[Batch Name],SamplingData[[#This Row],[Batch by Type (p)]]) &lt;&gt; 0, COUNTIF(SelectedPrecincts[Batch Name],SamplingData[[#This Row],[Batch by Type (p)]]), 0)</f>
        <v>2</v>
      </c>
    </row>
    <row r="59" spans="1:36" ht="15" customHeight="1" x14ac:dyDescent="0.35">
      <c r="A59" s="98" t="s">
        <v>270</v>
      </c>
      <c r="B59" s="98">
        <v>136</v>
      </c>
      <c r="C59" s="98">
        <v>55</v>
      </c>
      <c r="D59" s="93"/>
      <c r="E59" s="93"/>
      <c r="F59" s="93"/>
      <c r="G59" s="97"/>
      <c r="H59" s="97"/>
      <c r="I59" s="93"/>
      <c r="J59" s="93"/>
      <c r="K59" s="93"/>
      <c r="L59" s="93"/>
      <c r="M59" s="93"/>
      <c r="N59" s="98">
        <v>0</v>
      </c>
      <c r="O59" s="98">
        <v>0</v>
      </c>
      <c r="P59" s="99">
        <f>SUM(SamplingData[[#This Row],[Winning Candidate]:[Under Votes]])</f>
        <v>191</v>
      </c>
      <c r="Q59" s="100">
        <f>IF(AND(SamplingData[[#This Row],[Total]]&lt;&gt; 0, NOT(ISBLANK(SamplingData[[#This Row],[Losing Candidate]]))),(SamplingData[[#This Row],[Total]]+SamplingData[[#This Row],[Winning Candidate]]-SamplingData[[#This Row],[Losing Candidate]])/(SamplingData[[#Totals],[Winning Candidate]]-SamplingData[[#Totals],[Losing Candidate]]), 0)</f>
        <v>0.57505285412262153</v>
      </c>
      <c r="R59" s="100">
        <f>IF(AND(SamplingData[[#This Row],[Total]]&lt;&gt; 0, NOT(ISBLANK(SamplingData[[#This Row],[Candidate 3]]))),(SamplingData[[#This Row],[Total]]+SamplingData[[#This Row],[Winning Candidate]]-SamplingData[[#This Row],[Candidate 3]])/(SamplingData[[#Totals],[Winning Candidate]]-SamplingData[[#Totals],[Candidate 3]]), 0)</f>
        <v>0</v>
      </c>
      <c r="S59" s="100">
        <f>IF(AND(SamplingData[[#This Row],[Total]]&lt;&gt; 0, NOT(ISBLANK(SamplingData[[#This Row],[Candidate 4]]))),(SamplingData[[#This Row],[Total]]+SamplingData[[#This Row],[Winning Candidate]]-SamplingData[[#This Row],[Candidate 4]])/(SamplingData[[#Totals],[Winning Candidate]]-SamplingData[[#Totals],[Candidate 4]]), 0)</f>
        <v>0</v>
      </c>
      <c r="T59" s="100">
        <f>IF(AND(SamplingData[[#This Row],[Total]]&lt;&gt; 0, NOT(ISBLANK(SamplingData[[#This Row],[Candidate 5]]))),(SamplingData[[#This Row],[Total]]+SamplingData[[#This Row],[Winning Candidate]]-SamplingData[[#This Row],[Candidate 5]])/(SamplingData[[#Totals],[Winning Candidate]]-SamplingData[[#Totals],[Candidate 5]]), 0)</f>
        <v>0</v>
      </c>
      <c r="U59" s="100">
        <f>IF(AND(SamplingData[[#This Row],[Total]]&lt;&gt; 0, NOT(ISBLANK(SamplingData[[#This Row],[Candidate 6]]))),(SamplingData[[#This Row],[Total]]+SamplingData[[#This Row],[Losing Candidate]]-SamplingData[[#This Row],[Candidate 6]])/(SamplingData[[#Totals],[Winning Candidate]]-SamplingData[[#Totals],[Candidate 6]]), 0)</f>
        <v>0</v>
      </c>
      <c r="V59" s="100">
        <f>IF(AND(SamplingData[[#This Row],[Total]]&lt;&gt; 0, NOT(ISBLANK(SamplingData[[#This Row],[Candidate 7]]))),(SamplingData[[#This Row],[Total]]+SamplingData[[#This Row],[Winning Candidate]]-SamplingData[[#This Row],[Candidate 7]])/(SamplingData[[#Totals],[Winning Candidate]]-SamplingData[[#Totals],[Candidate 7]]), 0)</f>
        <v>0</v>
      </c>
      <c r="W59" s="100">
        <f>IF(AND(SamplingData[[#This Row],[Total]]&lt;&gt; 0, NOT(ISBLANK(SamplingData[[#This Row],[Candidate 8]]))),(SamplingData[[#This Row],[Total]]+SamplingData[[#This Row],[Winning Candidate]]-SamplingData[[#This Row],[Candidate 8]])/(SamplingData[[#Totals],[Winning Candidate]]-SamplingData[[#Totals],[Candidate 8]]), 0)</f>
        <v>0</v>
      </c>
      <c r="X59"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59"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59"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59"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59" s="100">
        <f>MAX(SamplingData[[#This Row],[Error Bound (up) - Max. possible relative overstatement - Losing Candidate]:[Error Bound (up) - Max. possible relative overstatement - Candidate 12]])</f>
        <v>0.57505285412262153</v>
      </c>
      <c r="AC59" s="100">
        <f>IF(SamplingData[[#This Row],[Max Error Bound (up)]] = 0,0,SamplingData[[#This Row],[Max Error Bound (up)]]/SamplingData[[#Totals],[Max Error Bound (up)]])</f>
        <v>4.3188313750396945E-2</v>
      </c>
      <c r="AD59" s="104">
        <f>SUM($AC$5:AC59)</f>
        <v>0.96538583677357881</v>
      </c>
      <c r="AE59" s="100" t="str" cm="1">
        <f t="array" ref="AE59">IF(SamplingData[[#This Row],[up/U Selection Probability]] = 0, "Zero", TEXT(SamplingData[[#This Row],[Lower Range]], REPT("0",LEN('General Info'!$B$42))) &amp; " - " &amp; TEXT(SamplingData[[#This Row],[Upper Range]], REPT("0",LEN('General Info'!$B$42))))</f>
        <v>922 - 964</v>
      </c>
      <c r="AF59" s="100">
        <f>SamplingData[[#This Row],[Upper Range]]-SamplingData[[#This Row],[Span]]</f>
        <v>922.19752302318193</v>
      </c>
      <c r="AG59" s="100">
        <f>IF(ISNUMBER('General Info'!$B$42), ((SamplingData[[#This Row],[up/U Selection Probability]]) * 'General Info'!$B$44) - 1, 0)</f>
        <v>42.188313750396944</v>
      </c>
      <c r="AH59" s="100">
        <f>IF(ISNUMBER('General Info'!$B$42), (SamplingData[[#This Row],[Running (cumulative) sum]] * ('General Info'!$B$42 -'General Info'!$B$43 + 1)) + 'General Info'!$B$43 - 1, 0)</f>
        <v>964.38583677357883</v>
      </c>
      <c r="AI59" s="100">
        <f>IF(ISERROR(MATCH(SamplingData[[#This Row],[Batch by Type (p)]],SelectedPrecincts[Batch Name], 0)), "", INDEX(SelectedPrecincts[Draw], MATCH(SamplingData[[#This Row],[Batch by Type (p)]],SelectedPrecincts[Batch Name], 0)))</f>
        <v>27</v>
      </c>
      <c r="AJ59" s="101">
        <f>IF(COUNTIF(SelectedPrecincts[Batch Name],SamplingData[[#This Row],[Batch by Type (p)]]) &lt;&gt; 0, COUNTIF(SelectedPrecincts[Batch Name],SamplingData[[#This Row],[Batch by Type (p)]]), 0)</f>
        <v>1</v>
      </c>
    </row>
    <row r="60" spans="1:36" ht="15" customHeight="1" x14ac:dyDescent="0.35">
      <c r="A60" s="98" t="s">
        <v>271</v>
      </c>
      <c r="B60" s="98">
        <v>108</v>
      </c>
      <c r="C60" s="98">
        <v>17</v>
      </c>
      <c r="D60" s="93"/>
      <c r="E60" s="93"/>
      <c r="F60" s="93"/>
      <c r="G60" s="97"/>
      <c r="H60" s="97"/>
      <c r="I60" s="93"/>
      <c r="J60" s="93"/>
      <c r="K60" s="93"/>
      <c r="L60" s="93"/>
      <c r="M60" s="93"/>
      <c r="N60" s="98">
        <v>0</v>
      </c>
      <c r="O60" s="98">
        <v>2</v>
      </c>
      <c r="P60" s="99">
        <f>SUM(SamplingData[[#This Row],[Winning Candidate]:[Under Votes]])</f>
        <v>127</v>
      </c>
      <c r="Q60" s="100">
        <f>IF(AND(SamplingData[[#This Row],[Total]]&lt;&gt; 0, NOT(ISBLANK(SamplingData[[#This Row],[Losing Candidate]]))),(SamplingData[[#This Row],[Total]]+SamplingData[[#This Row],[Winning Candidate]]-SamplingData[[#This Row],[Losing Candidate]])/(SamplingData[[#Totals],[Winning Candidate]]-SamplingData[[#Totals],[Losing Candidate]]), 0)</f>
        <v>0.46088794926004228</v>
      </c>
      <c r="R60" s="100">
        <f>IF(AND(SamplingData[[#This Row],[Total]]&lt;&gt; 0, NOT(ISBLANK(SamplingData[[#This Row],[Candidate 3]]))),(SamplingData[[#This Row],[Total]]+SamplingData[[#This Row],[Winning Candidate]]-SamplingData[[#This Row],[Candidate 3]])/(SamplingData[[#Totals],[Winning Candidate]]-SamplingData[[#Totals],[Candidate 3]]), 0)</f>
        <v>0</v>
      </c>
      <c r="S60" s="100">
        <f>IF(AND(SamplingData[[#This Row],[Total]]&lt;&gt; 0, NOT(ISBLANK(SamplingData[[#This Row],[Candidate 4]]))),(SamplingData[[#This Row],[Total]]+SamplingData[[#This Row],[Winning Candidate]]-SamplingData[[#This Row],[Candidate 4]])/(SamplingData[[#Totals],[Winning Candidate]]-SamplingData[[#Totals],[Candidate 4]]), 0)</f>
        <v>0</v>
      </c>
      <c r="T60" s="100">
        <f>IF(AND(SamplingData[[#This Row],[Total]]&lt;&gt; 0, NOT(ISBLANK(SamplingData[[#This Row],[Candidate 5]]))),(SamplingData[[#This Row],[Total]]+SamplingData[[#This Row],[Winning Candidate]]-SamplingData[[#This Row],[Candidate 5]])/(SamplingData[[#Totals],[Winning Candidate]]-SamplingData[[#Totals],[Candidate 5]]), 0)</f>
        <v>0</v>
      </c>
      <c r="U60" s="100">
        <f>IF(AND(SamplingData[[#This Row],[Total]]&lt;&gt; 0, NOT(ISBLANK(SamplingData[[#This Row],[Candidate 6]]))),(SamplingData[[#This Row],[Total]]+SamplingData[[#This Row],[Losing Candidate]]-SamplingData[[#This Row],[Candidate 6]])/(SamplingData[[#Totals],[Winning Candidate]]-SamplingData[[#Totals],[Candidate 6]]), 0)</f>
        <v>0</v>
      </c>
      <c r="V60" s="100">
        <f>IF(AND(SamplingData[[#This Row],[Total]]&lt;&gt; 0, NOT(ISBLANK(SamplingData[[#This Row],[Candidate 7]]))),(SamplingData[[#This Row],[Total]]+SamplingData[[#This Row],[Winning Candidate]]-SamplingData[[#This Row],[Candidate 7]])/(SamplingData[[#Totals],[Winning Candidate]]-SamplingData[[#Totals],[Candidate 7]]), 0)</f>
        <v>0</v>
      </c>
      <c r="W60" s="100">
        <f>IF(AND(SamplingData[[#This Row],[Total]]&lt;&gt; 0, NOT(ISBLANK(SamplingData[[#This Row],[Candidate 8]]))),(SamplingData[[#This Row],[Total]]+SamplingData[[#This Row],[Winning Candidate]]-SamplingData[[#This Row],[Candidate 8]])/(SamplingData[[#Totals],[Winning Candidate]]-SamplingData[[#Totals],[Candidate 8]]), 0)</f>
        <v>0</v>
      </c>
      <c r="X60" s="100">
        <f>IF(AND(SamplingData[[#This Row],[Error Bound (up) - Max. possible relative overstatement - Losing Candidate]]&lt;&gt; 0, NOT(ISBLANK(SamplingData[[#This Row],[Candidate 9]]))),(SamplingData[[#This Row],[Error Bound (up) - Max. possible relative overstatement - Losing Candidate]]+SamplingData[[#This Row],[Winning Candidate]]-SamplingData[[#This Row],[Candidate 9]])/(SamplingData[[#Totals],[Winning Candidate]]-SamplingData[[#Totals],[Candidate 9]]), 0)</f>
        <v>0</v>
      </c>
      <c r="Y60" s="100">
        <f>IF(AND(SamplingData[[#This Row],[Error Bound (up) - Max. possible relative overstatement - Candidate 3]]&lt;&gt; 0, NOT(ISBLANK(SamplingData[[#This Row],[Candidate 10]]))),(SamplingData[[#This Row],[Error Bound (up) - Max. possible relative overstatement - Candidate 3]]+SamplingData[[#This Row],[Winning Candidate]]-SamplingData[[#This Row],[Candidate 10]])/(SamplingData[[#Totals],[Winning Candidate]]-SamplingData[[#Totals],[Candidate 10]]), 0)</f>
        <v>0</v>
      </c>
      <c r="Z60" s="100">
        <f>IF(AND(SamplingData[[#This Row],[Error Bound (up) - Max. possible relative overstatement - Candidate 4]]&lt;&gt; 0, NOT(ISBLANK(SamplingData[[#This Row],[Candidate 11]]))),(SamplingData[[#This Row],[Error Bound (up) - Max. possible relative overstatement - Candidate 4]]+SamplingData[[#This Row],[Winning Candidate]]-SamplingData[[#This Row],[Candidate 11]])/(SamplingData[[#Totals],[Winning Candidate]]-SamplingData[[#Totals],[Candidate 11]]), 0)</f>
        <v>0</v>
      </c>
      <c r="AA60" s="100">
        <f>IF(AND(SamplingData[[#This Row],[Error Bound (up) - Max. possible relative overstatement - Candidate 5]]&lt;&gt; 0, NOT(ISBLANK(SamplingData[[#This Row],[Candidate 12]]))),(SamplingData[[#This Row],[Error Bound (up) - Max. possible relative overstatement - Candidate 5]]+SamplingData[[#This Row],[Winning Candidate]]-SamplingData[[#This Row],[Candidate 12]])/(SamplingData[[#Totals],[Winning Candidate]]-SamplingData[[#Totals],[Candidate 12]]), 0)</f>
        <v>0</v>
      </c>
      <c r="AB60" s="100">
        <f>MAX(SamplingData[[#This Row],[Error Bound (up) - Max. possible relative overstatement - Losing Candidate]:[Error Bound (up) - Max. possible relative overstatement - Candidate 12]])</f>
        <v>0.46088794926004228</v>
      </c>
      <c r="AC60" s="100">
        <f>IF(SamplingData[[#This Row],[Max Error Bound (up)]] = 0,0,SamplingData[[#This Row],[Max Error Bound (up)]]/SamplingData[[#Totals],[Max Error Bound (up)]])</f>
        <v>3.461416322642108E-2</v>
      </c>
      <c r="AD60" s="104">
        <f>SUM($AC$5:AC60)</f>
        <v>0.99999999999999989</v>
      </c>
      <c r="AE60" s="100" t="str" cm="1">
        <f t="array" ref="AE60">IF(SamplingData[[#This Row],[up/U Selection Probability]] = 0, "Zero", TEXT(SamplingData[[#This Row],[Lower Range]], REPT("0",LEN('General Info'!$B$42))) &amp; " - " &amp; TEXT(SamplingData[[#This Row],[Upper Range]], REPT("0",LEN('General Info'!$B$42))))</f>
        <v>965 - 999</v>
      </c>
      <c r="AF60" s="100">
        <f>SamplingData[[#This Row],[Upper Range]]-SamplingData[[#This Row],[Span]]</f>
        <v>965.38583677357883</v>
      </c>
      <c r="AG60" s="100">
        <f>IF(ISNUMBER('General Info'!$B$42), ((SamplingData[[#This Row],[up/U Selection Probability]]) * 'General Info'!$B$44) - 1, 0)</f>
        <v>33.614163226421077</v>
      </c>
      <c r="AH60" s="100">
        <f>IF(ISNUMBER('General Info'!$B$42), (SamplingData[[#This Row],[Running (cumulative) sum]] * ('General Info'!$B$42 -'General Info'!$B$43 + 1)) + 'General Info'!$B$43 - 1, 0)</f>
        <v>998.99999999999989</v>
      </c>
      <c r="AI60" s="100">
        <f>IF(ISERROR(MATCH(SamplingData[[#This Row],[Batch by Type (p)]],SelectedPrecincts[Batch Name], 0)), "", INDEX(SelectedPrecincts[Draw], MATCH(SamplingData[[#This Row],[Batch by Type (p)]],SelectedPrecincts[Batch Name], 0)))</f>
        <v>15</v>
      </c>
      <c r="AJ60" s="101">
        <f>IF(COUNTIF(SelectedPrecincts[Batch Name],SamplingData[[#This Row],[Batch by Type (p)]]) &lt;&gt; 0, COUNTIF(SelectedPrecincts[Batch Name],SamplingData[[#This Row],[Batch by Type (p)]]), 0)</f>
        <v>1</v>
      </c>
    </row>
    <row r="61" spans="1:36" ht="15" customHeight="1" x14ac:dyDescent="0.35">
      <c r="A61" s="105">
        <f>SUBTOTAL(103,SamplingData[Batch by Type (p)])</f>
        <v>56</v>
      </c>
      <c r="B61" s="105">
        <f>SUM(SamplingData[Winning Candidate])</f>
        <v>3142</v>
      </c>
      <c r="C61" s="105">
        <f>SUM(SamplingData[Losing Candidate])</f>
        <v>2669</v>
      </c>
      <c r="D61" s="105">
        <f>SUM(SamplingData[Candidate 3])</f>
        <v>0</v>
      </c>
      <c r="E61" s="105">
        <f>SUM(SamplingData[Candidate 4])</f>
        <v>0</v>
      </c>
      <c r="F61" s="105">
        <f>SUM(SamplingData[Candidate 5])</f>
        <v>0</v>
      </c>
      <c r="G61" s="105">
        <f>SUBTOTAL(109,SamplingData[Candidate 6])</f>
        <v>0</v>
      </c>
      <c r="H61" s="105">
        <f>SUBTOTAL(109,SamplingData[Candidate 7])</f>
        <v>0</v>
      </c>
      <c r="I61" s="105">
        <f>SUM(SamplingData[Candidate 8])</f>
        <v>0</v>
      </c>
      <c r="J61" s="105"/>
      <c r="K61" s="105"/>
      <c r="L61" s="105"/>
      <c r="M61" s="105"/>
      <c r="N61" s="105">
        <f>SUM(SamplingData[Over Votes])</f>
        <v>1</v>
      </c>
      <c r="O61" s="105">
        <f>SUM(SamplingData[Under Votes])</f>
        <v>13</v>
      </c>
      <c r="P61" s="106">
        <f>SUM(SamplingData[Total])</f>
        <v>5825</v>
      </c>
      <c r="Q61" s="105">
        <f>SUM(SamplingData[Error Bound (up) - Max. possible relative overstatement - Losing Candidate])</f>
        <v>13.315010570824526</v>
      </c>
      <c r="R61" s="105">
        <f>SUM(SamplingData[Error Bound (up) - Max. possible relative overstatement - Candidate 3])</f>
        <v>0</v>
      </c>
      <c r="S61" s="105">
        <f>SUM(SamplingData[Error Bound (up) - Max. possible relative overstatement - Candidate 4])</f>
        <v>0</v>
      </c>
      <c r="T61" s="105">
        <f>SUM(SamplingData[Error Bound (up) - Max. possible relative overstatement - Candidate 5])</f>
        <v>0</v>
      </c>
      <c r="U61" s="105">
        <f>SUBTOTAL(109,SamplingData[Error Bound (up) - Max. possible relative overstatement - Candidate 6])</f>
        <v>0</v>
      </c>
      <c r="V61" s="105">
        <f>SUBTOTAL(109,SamplingData[Error Bound (up) - Max. possible relative overstatement - Candidate 7])</f>
        <v>0</v>
      </c>
      <c r="W61" s="105">
        <f>SUM(SamplingData[Error Bound (up) - Max. possible relative overstatement - Candidate 8])</f>
        <v>0</v>
      </c>
      <c r="X61" s="105">
        <f>SUM(SamplingData[Error Bound (up) - Max. possible relative overstatement - Candidate 9])</f>
        <v>0</v>
      </c>
      <c r="Y61" s="105">
        <f>SUM(SamplingData[Error Bound (up) - Max. possible relative overstatement - Candidate 10])</f>
        <v>0</v>
      </c>
      <c r="Z61" s="105">
        <f>SUM(SamplingData[Error Bound (up) - Max. possible relative overstatement - Candidate 11])</f>
        <v>0</v>
      </c>
      <c r="AA61" s="105">
        <f>SUM(SamplingData[Error Bound (up) - Max. possible relative overstatement - Candidate 12])</f>
        <v>0</v>
      </c>
      <c r="AB61" s="105">
        <f>SUM(SamplingData[Max Error Bound (up)])</f>
        <v>13.315010570824526</v>
      </c>
      <c r="AC61" s="105">
        <f>SUM(SamplingData[up/U Selection Probability])</f>
        <v>0.99999999999999989</v>
      </c>
      <c r="AD61" s="105">
        <f>SUM(SamplingData[Running (cumulative) sum])</f>
        <v>16.923626548110512</v>
      </c>
      <c r="AE61" s="105" t="str">
        <f>IF(OR(NOT(ISNUMBER('General Info'!$B$42)), NOT(ISNUMBER('General Info'!$B$43))), "UNDEFINED", TEXT(MIN(SamplingData[Lower Range]), REPT("0",LEN('General Info'!$B$42))) &amp; " - " &amp; TEXT(MAX(SamplingData[Upper Range]), REPT("0",LEN('General Info'!$B$42))))</f>
        <v>000 - 999</v>
      </c>
      <c r="AF61" s="105">
        <f>SUM(SamplingData[Lower Range])</f>
        <v>15923.626548110511</v>
      </c>
      <c r="AG61" s="105">
        <f>SUM(SamplingData[Span])</f>
        <v>943.99999999999989</v>
      </c>
      <c r="AH61" s="105">
        <f>SUM(SamplingData[Upper Range])</f>
        <v>16867.626548110511</v>
      </c>
      <c r="AI61" s="105" t="s">
        <v>0</v>
      </c>
      <c r="AJ61" s="106">
        <f>COUNTIF(SamplingData[Times p Drawn - With Replacement], "&lt;&gt;0")</f>
        <v>19</v>
      </c>
    </row>
  </sheetData>
  <sortState xmlns:xlrd2="http://schemas.microsoft.com/office/spreadsheetml/2017/richdata2" ref="A2:AS31">
    <sortCondition descending="1" ref="AC2:AC31"/>
  </sortState>
  <mergeCells count="3">
    <mergeCell ref="A2:O2"/>
    <mergeCell ref="P2:AJ2"/>
    <mergeCell ref="A1:AJ1"/>
  </mergeCells>
  <printOptions horizontalCentered="1" gridLines="1"/>
  <pageMargins left="0.25" right="0.25" top="0.75" bottom="0.75" header="0.3" footer="0.3"/>
  <pageSetup scale="59" fitToHeight="0" orientation="landscape" horizontalDpi="1200" verticalDpi="1200" r:id="rId1"/>
  <headerFooter>
    <oddFooter>&amp;C&amp;P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82"/>
  <sheetViews>
    <sheetView zoomScaleNormal="100" workbookViewId="0">
      <selection activeCell="A3" sqref="A3:C3"/>
    </sheetView>
  </sheetViews>
  <sheetFormatPr defaultRowHeight="15" customHeight="1" x14ac:dyDescent="0.35"/>
  <cols>
    <col min="1" max="1" width="4.54296875" customWidth="1"/>
    <col min="2" max="2" width="3.26953125" style="16" customWidth="1"/>
    <col min="3" max="3" width="87.1796875" customWidth="1"/>
    <col min="4" max="4" width="71.453125" style="75" bestFit="1" customWidth="1"/>
  </cols>
  <sheetData>
    <row r="1" spans="1:3" ht="18" customHeight="1" x14ac:dyDescent="0.35">
      <c r="A1" s="140" t="str">
        <f ca="1">MID(CELL("filename",$A$2), FIND("]", CELL("filename",$A$2)) + 1, 255)</f>
        <v>Instructions</v>
      </c>
      <c r="B1" s="141"/>
      <c r="C1" s="142"/>
    </row>
    <row r="2" spans="1:3" ht="33.75" customHeight="1" x14ac:dyDescent="0.35">
      <c r="A2" s="145" t="s">
        <v>126</v>
      </c>
      <c r="B2" s="146"/>
      <c r="C2" s="147"/>
    </row>
    <row r="3" spans="1:3" ht="20.25" customHeight="1" x14ac:dyDescent="0.35">
      <c r="A3" s="148" t="s">
        <v>151</v>
      </c>
      <c r="B3" s="149"/>
      <c r="C3" s="150"/>
    </row>
    <row r="4" spans="1:3" ht="20.25" customHeight="1" x14ac:dyDescent="0.35">
      <c r="A4" s="148" t="str">
        <f>"Note: Paste data as values only (see item " &amp; $A$57 &amp; " below)."</f>
        <v>Note: Paste data as values only (see item S1 below).</v>
      </c>
      <c r="B4" s="149"/>
      <c r="C4" s="150"/>
    </row>
    <row r="5" spans="1:3" ht="20.25" customHeight="1" x14ac:dyDescent="0.35">
      <c r="A5" s="151" t="s">
        <v>127</v>
      </c>
      <c r="B5" s="152"/>
      <c r="C5" s="153"/>
    </row>
    <row r="6" spans="1:3" ht="35.25" customHeight="1" x14ac:dyDescent="0.35">
      <c r="A6" s="71">
        <v>1</v>
      </c>
      <c r="B6" s="154" t="s">
        <v>118</v>
      </c>
      <c r="C6" s="155"/>
    </row>
    <row r="7" spans="1:3" ht="18.75" customHeight="1" x14ac:dyDescent="0.35">
      <c r="A7" s="169">
        <v>2</v>
      </c>
      <c r="B7" s="156" t="str">
        <f ca="1">"Set global data on the sheet titled: '" &amp; MID(CELL("filename",GeneralInfo[[#Headers],[Contest Audited]]), FIND("]", CELL("filename",GeneralInfo[[#Headers],[Contest Audited]])) + 1, 255) &amp; "', overwriting the current text."</f>
        <v>Set global data on the sheet titled: 'General Info', overwriting the current text.</v>
      </c>
      <c r="C7" s="157"/>
    </row>
    <row r="8" spans="1:3" ht="18" customHeight="1" x14ac:dyDescent="0.35">
      <c r="A8" s="170"/>
      <c r="B8" s="58" t="s">
        <v>137</v>
      </c>
      <c r="C8" s="51" t="s">
        <v>128</v>
      </c>
    </row>
    <row r="9" spans="1:3" ht="17.25" customHeight="1" x14ac:dyDescent="0.35">
      <c r="A9" s="170"/>
      <c r="B9" s="58" t="s">
        <v>138</v>
      </c>
      <c r="C9" s="51" t="s">
        <v>129</v>
      </c>
    </row>
    <row r="10" spans="1:3" ht="18" customHeight="1" x14ac:dyDescent="0.35">
      <c r="A10" s="170"/>
      <c r="B10" s="58" t="s">
        <v>139</v>
      </c>
      <c r="C10" s="51" t="s">
        <v>130</v>
      </c>
    </row>
    <row r="11" spans="1:3" ht="18" customHeight="1" x14ac:dyDescent="0.35">
      <c r="A11" s="170"/>
      <c r="B11" s="58" t="s">
        <v>140</v>
      </c>
      <c r="C11" s="51" t="s">
        <v>162</v>
      </c>
    </row>
    <row r="12" spans="1:3" ht="18" customHeight="1" x14ac:dyDescent="0.35">
      <c r="A12" s="170"/>
      <c r="B12" s="58" t="s">
        <v>141</v>
      </c>
      <c r="C12" s="51" t="s">
        <v>163</v>
      </c>
    </row>
    <row r="13" spans="1:3" ht="14.5" x14ac:dyDescent="0.35">
      <c r="A13" s="170"/>
      <c r="B13" s="58" t="s">
        <v>142</v>
      </c>
      <c r="C13" s="51" t="s">
        <v>164</v>
      </c>
    </row>
    <row r="14" spans="1:3" ht="33" customHeight="1" x14ac:dyDescent="0.35">
      <c r="A14" s="170"/>
      <c r="B14" s="58" t="s">
        <v>143</v>
      </c>
      <c r="C14" s="51" t="s">
        <v>131</v>
      </c>
    </row>
    <row r="15" spans="1:3" ht="36" customHeight="1" x14ac:dyDescent="0.35">
      <c r="A15" s="171"/>
      <c r="B15" s="59" t="s">
        <v>144</v>
      </c>
      <c r="C15" s="51" t="s">
        <v>165</v>
      </c>
    </row>
    <row r="16" spans="1:3" ht="31.5" customHeight="1" x14ac:dyDescent="0.35">
      <c r="A16" s="164">
        <v>3</v>
      </c>
      <c r="B16" s="158" t="str">
        <f ca="1">"Enter the candidate names or the issue responses in the 'Candidate/Issue Reponses' table on the 
'" &amp; MID(CELL("filename",GeneralInfo[[#Headers],[Contest Audited]]), FIND("]", CELL("filename",GeneralInfo[[#Headers],[Contest Audited]])) + 1, 255) &amp; "' sheet."</f>
        <v>Enter the candidate names or the issue responses in the 'Candidate/Issue Reponses' table on the 
'General Info' sheet.</v>
      </c>
      <c r="C16" s="159"/>
    </row>
    <row r="17" spans="1:3" ht="30" customHeight="1" x14ac:dyDescent="0.35">
      <c r="A17" s="165"/>
      <c r="B17" s="61" t="s">
        <v>137</v>
      </c>
      <c r="C17" s="62" t="s">
        <v>132</v>
      </c>
    </row>
    <row r="18" spans="1:3" ht="16.5" customHeight="1" x14ac:dyDescent="0.35">
      <c r="A18" s="165"/>
      <c r="B18" s="61"/>
      <c r="C18" s="63" t="s">
        <v>208</v>
      </c>
    </row>
    <row r="19" spans="1:3" ht="18.75" customHeight="1" x14ac:dyDescent="0.35">
      <c r="A19" s="166"/>
      <c r="B19" s="64" t="s">
        <v>138</v>
      </c>
      <c r="C19" s="65" t="str">
        <f>"Hide any remaining unused rows if desired (see item "&amp;$A$61&amp;" below)."</f>
        <v>Hide any remaining unused rows if desired (see item S2 below).</v>
      </c>
    </row>
    <row r="20" spans="1:3" ht="18.75" customHeight="1" x14ac:dyDescent="0.35">
      <c r="A20" s="162">
        <v>4</v>
      </c>
      <c r="B20" s="160" t="str">
        <f ca="1">"Enter/Import election data into the '"&amp;MID(CELL("filename",'Sampling Data'!A4), FIND("]", CELL("filename",'Sampling Data'!A4)) + 1, 255) &amp; "' spreadsheet."</f>
        <v>Enter/Import election data into the 'Sampling Data' spreadsheet.</v>
      </c>
      <c r="C20" s="161"/>
    </row>
    <row r="21" spans="1:3" ht="18.75" customHeight="1" x14ac:dyDescent="0.35">
      <c r="A21" s="172"/>
      <c r="B21" s="58" t="s">
        <v>137</v>
      </c>
      <c r="C21" s="51" t="s">
        <v>134</v>
      </c>
    </row>
    <row r="22" spans="1:3" ht="17.25" customHeight="1" x14ac:dyDescent="0.35">
      <c r="A22" s="172"/>
      <c r="B22" s="58" t="s">
        <v>138</v>
      </c>
      <c r="C22" s="51" t="s">
        <v>145</v>
      </c>
    </row>
    <row r="23" spans="1:3" ht="33.75" customHeight="1" x14ac:dyDescent="0.35">
      <c r="A23" s="172"/>
      <c r="B23" s="58"/>
      <c r="C23" s="52" t="s">
        <v>159</v>
      </c>
    </row>
    <row r="24" spans="1:3" ht="19.5" customHeight="1" x14ac:dyDescent="0.35">
      <c r="A24" s="172"/>
      <c r="B24" s="58" t="s">
        <v>139</v>
      </c>
      <c r="C24" s="51" t="s">
        <v>155</v>
      </c>
    </row>
    <row r="25" spans="1:3" ht="28.5" customHeight="1" x14ac:dyDescent="0.35">
      <c r="A25" s="172"/>
      <c r="B25" s="58" t="s">
        <v>140</v>
      </c>
      <c r="C25" s="51" t="str">
        <f>"Determine the total number of rows needed and extend or shrink the table by the necessary
amount (see items "&amp;$A$70&amp;", " &amp;$A$74&amp; " below)."</f>
        <v>Determine the total number of rows needed and extend or shrink the table by the necessary
amount (see items S4, S5 below).</v>
      </c>
    </row>
    <row r="26" spans="1:3" ht="18.75" customHeight="1" x14ac:dyDescent="0.35">
      <c r="A26" s="172"/>
      <c r="B26" s="58"/>
      <c r="C26" s="52" t="s">
        <v>135</v>
      </c>
    </row>
    <row r="27" spans="1:3" ht="33.75" customHeight="1" x14ac:dyDescent="0.35">
      <c r="A27" s="172"/>
      <c r="B27" s="58" t="s">
        <v>141</v>
      </c>
      <c r="C27" s="51" t="s">
        <v>133</v>
      </c>
    </row>
    <row r="28" spans="1:3" ht="14.5" x14ac:dyDescent="0.35">
      <c r="A28" s="172"/>
      <c r="B28" s="58" t="s">
        <v>142</v>
      </c>
      <c r="C28" s="102" t="s">
        <v>179</v>
      </c>
    </row>
    <row r="29" spans="1:3" ht="33.75" customHeight="1" x14ac:dyDescent="0.35">
      <c r="A29" s="163"/>
      <c r="B29" s="59" t="s">
        <v>143</v>
      </c>
      <c r="C29" s="53" t="str">
        <f>"You may hide any column with the words 'UNDEFINED' in the header (see item "&amp;$A$61&amp;" 
below)."</f>
        <v>You may hide any column with the words 'UNDEFINED' in the header (see item S2 
below).</v>
      </c>
    </row>
    <row r="30" spans="1:3" ht="19.5" customHeight="1" x14ac:dyDescent="0.35">
      <c r="A30" s="164">
        <v>5</v>
      </c>
      <c r="B30" s="158" t="s">
        <v>136</v>
      </c>
      <c r="C30" s="159"/>
    </row>
    <row r="31" spans="1:3" ht="18.75" customHeight="1" x14ac:dyDescent="0.35">
      <c r="A31" s="165"/>
      <c r="B31" s="61" t="s">
        <v>137</v>
      </c>
      <c r="C31" s="62" t="s">
        <v>209</v>
      </c>
    </row>
    <row r="32" spans="1:3" ht="18.75" customHeight="1" x14ac:dyDescent="0.35">
      <c r="A32" s="165"/>
      <c r="B32" s="61" t="s">
        <v>138</v>
      </c>
      <c r="C32" s="62" t="s">
        <v>210</v>
      </c>
    </row>
    <row r="33" spans="1:3" ht="19.5" customHeight="1" x14ac:dyDescent="0.35">
      <c r="A33" s="165"/>
      <c r="B33" s="61" t="s">
        <v>139</v>
      </c>
      <c r="C33" s="62" t="s">
        <v>211</v>
      </c>
    </row>
    <row r="34" spans="1:3" ht="50.25" customHeight="1" x14ac:dyDescent="0.35">
      <c r="A34" s="166"/>
      <c r="B34" s="64" t="s">
        <v>140</v>
      </c>
      <c r="C34" s="65" t="s">
        <v>212</v>
      </c>
    </row>
    <row r="35" spans="1:3" ht="18.75" customHeight="1" x14ac:dyDescent="0.35">
      <c r="A35" s="162">
        <v>6</v>
      </c>
      <c r="B35" s="160" t="str">
        <f ca="1">"Select the batches to audit on the spreadsheet titled: '" &amp; MID(CELL("filename",'Selected Batches'!$A$2), FIND("]", CELL("filename",'Selected Batches'!$A$2)) + 1, 255) &amp; "'."</f>
        <v>Select the batches to audit on the spreadsheet titled: 'Selected Batches'.</v>
      </c>
      <c r="C35" s="161"/>
    </row>
    <row r="36" spans="1:3" ht="48" customHeight="1" x14ac:dyDescent="0.35">
      <c r="A36" s="172"/>
      <c r="B36" s="58" t="s">
        <v>137</v>
      </c>
      <c r="C36" s="55" t="str">
        <f ca="1">"Determine the minimum number of draws needed (batches to audit). The value for this is in 
cell B13 of the '" &amp; MID(CELL("filename",GeneralInfo[[#Headers],[Contest Audited]]), FIND("]", CELL("filename",GeneralInfo[[#Headers],[Contest Audited]])) + 1, 255) &amp; "' worksheet. This number assumes that all audited batches are 
100% accurate."</f>
        <v>Determine the minimum number of draws needed (batches to audit). The value for this is in 
cell B13 of the 'General Info' worksheet. This number assumes that all audited batches are 
100% accurate.</v>
      </c>
    </row>
    <row r="37" spans="1:3" ht="45" customHeight="1" x14ac:dyDescent="0.35">
      <c r="A37" s="172"/>
      <c r="B37" s="58" t="s">
        <v>138</v>
      </c>
      <c r="C37" s="51" t="str">
        <f>"Extend or reduce the table to allow for the minimum number of selections (see items " &amp; $A$70 &amp; ", " &amp; $A$74 &amp; " below). Additional batches should be selected at this time in the event a discrepancy is found within the original batches selected and the number of batches to audit increases."</f>
        <v>Extend or reduce the table to allow for the minimum number of selections (see items S4, S5 below). Additional batches should be selected at this time in the event a discrepancy is found within the original batches selected and the number of batches to audit increases.</v>
      </c>
    </row>
    <row r="38" spans="1:3" ht="19.5" customHeight="1" x14ac:dyDescent="0.35">
      <c r="A38" s="172"/>
      <c r="B38" s="58"/>
      <c r="C38" s="52" t="s">
        <v>115</v>
      </c>
    </row>
    <row r="39" spans="1:3" ht="36.75" customHeight="1" x14ac:dyDescent="0.35">
      <c r="A39" s="163"/>
      <c r="B39" s="59" t="s">
        <v>139</v>
      </c>
      <c r="C39" s="53" t="str">
        <f>"Select, at random, values within your predefined range and enter it into the column labeled: 
'" &amp;SelectedPrecincts[[#Headers],[Batch Number]] &amp; "', the corresponding batch name will appear in the adjacent cell."</f>
        <v>Select, at random, values within your predefined range and enter it into the column labeled: 
'Batch Number', the corresponding batch name will appear in the adjacent cell.</v>
      </c>
    </row>
    <row r="40" spans="1:3" ht="18" customHeight="1" x14ac:dyDescent="0.35">
      <c r="A40" s="164">
        <v>7</v>
      </c>
      <c r="B40" s="158" t="str">
        <f ca="1">"Enter the audit results in the spreadsheet titled: '" &amp; MID(CELL("filename",Audit!$A$3), FIND("]", CELL("filename",Audit!$A$3)) + 1, 255) &amp; "'."</f>
        <v>Enter the audit results in the spreadsheet titled: 'Audit'.</v>
      </c>
      <c r="C40" s="159"/>
    </row>
    <row r="41" spans="1:3" ht="13.5" customHeight="1" x14ac:dyDescent="0.35">
      <c r="A41" s="165"/>
      <c r="B41" s="61" t="s">
        <v>137</v>
      </c>
      <c r="C41" s="62" t="str">
        <f>"Adjust the size of the table; see items " &amp;$A$70 &amp; ", " &amp; $A$74 &amp; " below."</f>
        <v>Adjust the size of the table; see items S4, S5 below.</v>
      </c>
    </row>
    <row r="42" spans="1:3" ht="18" customHeight="1" x14ac:dyDescent="0.35">
      <c r="A42" s="165"/>
      <c r="B42" s="61"/>
      <c r="C42" s="63" t="str">
        <f ca="1">"Note: The number of rows will need to match the number of rows in '" &amp; MID(CELL("filename",'Sampling Data'!A4), FIND("]", CELL("filename",'Sampling Data'!A4)) + 1, 255) &amp; "'."</f>
        <v>Note: The number of rows will need to match the number of rows in 'Sampling Data'.</v>
      </c>
    </row>
    <row r="43" spans="1:3" ht="18" customHeight="1" x14ac:dyDescent="0.35">
      <c r="A43" s="165"/>
      <c r="B43" s="61" t="s">
        <v>138</v>
      </c>
      <c r="C43" s="103" t="s">
        <v>179</v>
      </c>
    </row>
    <row r="44" spans="1:3" ht="20.25" customHeight="1" x14ac:dyDescent="0.35">
      <c r="A44" s="165"/>
      <c r="B44" s="61" t="s">
        <v>139</v>
      </c>
      <c r="C44" s="62" t="str">
        <f>"Hide any columns that have 'Undefined' in the header, see item " &amp; $A$61 &amp; "."</f>
        <v>Hide any columns that have 'Undefined' in the header, see item S2.</v>
      </c>
    </row>
    <row r="45" spans="1:3" ht="34.5" customHeight="1" x14ac:dyDescent="0.35">
      <c r="A45" s="165"/>
      <c r="B45" s="61" t="s">
        <v>140</v>
      </c>
      <c r="C45" s="62" t="str">
        <f>"Using the drop down filter button for the column labeled: '" &amp; Audit!$A$4 &amp; "', 
select 'Sort A to Z', to sort by batch."</f>
        <v>Using the drop down filter button for the column labeled: 'Selection - Batch picked for audit', 
select 'Sort A to Z', to sort by batch.</v>
      </c>
    </row>
    <row r="46" spans="1:3" ht="34.5" customHeight="1" x14ac:dyDescent="0.35">
      <c r="A46" s="165"/>
      <c r="B46" s="61" t="s">
        <v>141</v>
      </c>
      <c r="C46" s="62" t="str">
        <f>"Using the drop down filter button for the column labeled: '" &amp; Audit!$A$4 &amp; "', 
 uncheck 'Blanks'."</f>
        <v>Using the drop down filter button for the column labeled: 'Selection - Batch picked for audit', 
 uncheck 'Blanks'.</v>
      </c>
    </row>
    <row r="47" spans="1:3" ht="19.5" customHeight="1" x14ac:dyDescent="0.35">
      <c r="A47" s="165"/>
      <c r="B47" s="61" t="s">
        <v>142</v>
      </c>
      <c r="C47" s="62" t="s">
        <v>157</v>
      </c>
    </row>
    <row r="48" spans="1:3" ht="30.75" customHeight="1" x14ac:dyDescent="0.35">
      <c r="A48" s="165"/>
      <c r="B48" s="61" t="s">
        <v>143</v>
      </c>
      <c r="C48" s="62" t="str">
        <f>"If there are any differences, enter the reason for it in the column labeled: '" &amp; Audit[[#Headers],[Reason For Differences]] &amp; "'."</f>
        <v>If there are any differences, enter the reason for it in the column labeled: 'Reason For Differences'.</v>
      </c>
    </row>
    <row r="49" spans="1:3" ht="33.75" customHeight="1" x14ac:dyDescent="0.35">
      <c r="A49" s="165"/>
      <c r="B49" s="61" t="s">
        <v>144</v>
      </c>
      <c r="C49" s="62" t="s">
        <v>119</v>
      </c>
    </row>
    <row r="50" spans="1:3" ht="20.25" customHeight="1" x14ac:dyDescent="0.35">
      <c r="A50" s="166"/>
      <c r="B50" s="64" t="s">
        <v>213</v>
      </c>
      <c r="C50" s="65" t="str">
        <f>"If more batches are needed due to errors, repeat previous steps above starting with " &amp;$A$35&amp;"."&amp;$B$37&amp;""</f>
        <v>If more batches are needed due to errors, repeat previous steps above starting with 6.b.</v>
      </c>
    </row>
    <row r="51" spans="1:3" ht="30" customHeight="1" x14ac:dyDescent="0.35">
      <c r="A51" s="162">
        <v>8</v>
      </c>
      <c r="B51" s="160" t="str">
        <f ca="1">"Once the audit is completed, return to spreadsheet '"&amp; MID(CELL("filename",GeneralInfo[[#Headers],[Contest Audited]]), FIND("]", CELL("filename",GeneralInfo[[#Headers],[Contest Audited]])) + 1, 255) &amp; "' and adjust the size of 
table '"&amp;'General Info'!$A$46&amp;"' until all of the reasons are displayed (see item "&amp;$A$70 &amp;" below)."</f>
        <v>Once the audit is completed, return to spreadsheet 'General Info' and adjust the size of 
table 'Explanation of Discrepancies' until all of the reasons are displayed (see item S4 below).</v>
      </c>
      <c r="C51" s="161"/>
    </row>
    <row r="52" spans="1:3" ht="21" customHeight="1" x14ac:dyDescent="0.35">
      <c r="A52" s="163"/>
      <c r="B52" s="167" t="s">
        <v>120</v>
      </c>
      <c r="C52" s="168"/>
    </row>
    <row r="53" spans="1:3" ht="24.75" customHeight="1" x14ac:dyDescent="0.35">
      <c r="A53" s="66">
        <v>9</v>
      </c>
      <c r="B53" s="143" t="s">
        <v>108</v>
      </c>
      <c r="C53" s="144"/>
    </row>
    <row r="54" spans="1:3" ht="25.5" customHeight="1" x14ac:dyDescent="0.35">
      <c r="A54" s="60">
        <v>10</v>
      </c>
      <c r="B54" s="173" t="s">
        <v>107</v>
      </c>
      <c r="C54" s="174"/>
    </row>
    <row r="55" spans="1:3" ht="18" customHeight="1" x14ac:dyDescent="0.35">
      <c r="A55" s="140" t="s">
        <v>154</v>
      </c>
      <c r="B55" s="141"/>
      <c r="C55" s="142"/>
    </row>
    <row r="56" spans="1:3" ht="20.25" customHeight="1" x14ac:dyDescent="0.35">
      <c r="A56" s="178" t="s">
        <v>153</v>
      </c>
      <c r="B56" s="179"/>
      <c r="C56" s="180"/>
    </row>
    <row r="57" spans="1:3" ht="19.5" customHeight="1" x14ac:dyDescent="0.35">
      <c r="A57" s="175" t="s">
        <v>109</v>
      </c>
      <c r="B57" s="158" t="s">
        <v>152</v>
      </c>
      <c r="C57" s="159"/>
    </row>
    <row r="58" spans="1:3" ht="18.75" customHeight="1" x14ac:dyDescent="0.35">
      <c r="A58" s="176"/>
      <c r="B58" s="67" t="s">
        <v>137</v>
      </c>
      <c r="C58" s="62" t="s">
        <v>214</v>
      </c>
    </row>
    <row r="59" spans="1:3" ht="32.25" customHeight="1" x14ac:dyDescent="0.35">
      <c r="A59" s="176"/>
      <c r="B59" s="67" t="s">
        <v>138</v>
      </c>
      <c r="C59" s="62" t="s">
        <v>121</v>
      </c>
    </row>
    <row r="60" spans="1:3" ht="19.5" customHeight="1" x14ac:dyDescent="0.35">
      <c r="A60" s="177"/>
      <c r="B60" s="68" t="s">
        <v>139</v>
      </c>
      <c r="C60" s="65" t="s">
        <v>117</v>
      </c>
    </row>
    <row r="61" spans="1:3" ht="18.75" customHeight="1" x14ac:dyDescent="0.35">
      <c r="A61" s="162" t="s">
        <v>110</v>
      </c>
      <c r="B61" s="160" t="s">
        <v>146</v>
      </c>
      <c r="C61" s="161"/>
    </row>
    <row r="62" spans="1:3" ht="33.75" customHeight="1" x14ac:dyDescent="0.35">
      <c r="A62" s="172"/>
      <c r="B62" s="54" t="s">
        <v>137</v>
      </c>
      <c r="C62" s="55" t="s">
        <v>147</v>
      </c>
    </row>
    <row r="63" spans="1:3" ht="18.75" customHeight="1" x14ac:dyDescent="0.35">
      <c r="A63" s="172"/>
      <c r="B63" s="54" t="s">
        <v>138</v>
      </c>
      <c r="C63" s="55" t="s">
        <v>148</v>
      </c>
    </row>
    <row r="64" spans="1:3" ht="18.75" customHeight="1" x14ac:dyDescent="0.35">
      <c r="A64" s="163"/>
      <c r="B64" s="57" t="s">
        <v>139</v>
      </c>
      <c r="C64" s="56" t="s">
        <v>101</v>
      </c>
    </row>
    <row r="65" spans="1:3" ht="18.75" customHeight="1" x14ac:dyDescent="0.35">
      <c r="A65" s="164" t="s">
        <v>111</v>
      </c>
      <c r="B65" s="158" t="s">
        <v>149</v>
      </c>
      <c r="C65" s="159"/>
    </row>
    <row r="66" spans="1:3" ht="33.75" customHeight="1" x14ac:dyDescent="0.35">
      <c r="A66" s="165"/>
      <c r="B66" s="61" t="s">
        <v>137</v>
      </c>
      <c r="C66" s="69" t="str">
        <f>"Select the first row/column before the row/column you wish to unhide using the method 
outlined in "&amp;$A$61&amp;" above."</f>
        <v>Select the first row/column before the row/column you wish to unhide using the method 
outlined in S2 above.</v>
      </c>
    </row>
    <row r="67" spans="1:3" ht="35.25" customHeight="1" x14ac:dyDescent="0.35">
      <c r="A67" s="165"/>
      <c r="B67" s="61" t="s">
        <v>138</v>
      </c>
      <c r="C67" s="69" t="str">
        <f>"While holding down the 'Shift' key, select the row/column after the row/column you wish to 
unhide (refer to "&amp;$A$61&amp;" above)."</f>
        <v>While holding down the 'Shift' key, select the row/column after the row/column you wish to 
unhide (refer to S2 above).</v>
      </c>
    </row>
    <row r="68" spans="1:3" ht="18.75" customHeight="1" x14ac:dyDescent="0.35">
      <c r="A68" s="165"/>
      <c r="B68" s="61" t="s">
        <v>139</v>
      </c>
      <c r="C68" s="69" t="s">
        <v>150</v>
      </c>
    </row>
    <row r="69" spans="1:3" ht="20.25" customHeight="1" x14ac:dyDescent="0.35">
      <c r="A69" s="166"/>
      <c r="B69" s="64" t="s">
        <v>140</v>
      </c>
      <c r="C69" s="70" t="s">
        <v>102</v>
      </c>
    </row>
    <row r="70" spans="1:3" ht="19.5" customHeight="1" x14ac:dyDescent="0.35">
      <c r="A70" s="162" t="s">
        <v>112</v>
      </c>
      <c r="B70" s="160" t="s">
        <v>105</v>
      </c>
      <c r="C70" s="161"/>
    </row>
    <row r="71" spans="1:3" ht="19.5" customHeight="1" x14ac:dyDescent="0.35">
      <c r="A71" s="172"/>
      <c r="B71" s="54" t="s">
        <v>137</v>
      </c>
      <c r="C71" s="55" t="s">
        <v>116</v>
      </c>
    </row>
    <row r="72" spans="1:3" ht="35.25" customHeight="1" x14ac:dyDescent="0.35">
      <c r="A72" s="172"/>
      <c r="B72" s="54" t="s">
        <v>138</v>
      </c>
      <c r="C72" s="55" t="s">
        <v>122</v>
      </c>
    </row>
    <row r="73" spans="1:3" ht="51" customHeight="1" x14ac:dyDescent="0.35">
      <c r="A73" s="163"/>
      <c r="B73" s="57" t="s">
        <v>139</v>
      </c>
      <c r="C73" s="56" t="s">
        <v>160</v>
      </c>
    </row>
    <row r="74" spans="1:3" ht="19.5" customHeight="1" x14ac:dyDescent="0.35">
      <c r="A74" s="164" t="s">
        <v>114</v>
      </c>
      <c r="B74" s="158" t="s">
        <v>106</v>
      </c>
      <c r="C74" s="159"/>
    </row>
    <row r="75" spans="1:3" ht="21" customHeight="1" x14ac:dyDescent="0.35">
      <c r="A75" s="165"/>
      <c r="B75" s="61" t="s">
        <v>137</v>
      </c>
      <c r="C75" s="69" t="s">
        <v>116</v>
      </c>
    </row>
    <row r="76" spans="1:3" ht="35.25" customHeight="1" x14ac:dyDescent="0.35">
      <c r="A76" s="165"/>
      <c r="B76" s="61" t="s">
        <v>138</v>
      </c>
      <c r="C76" s="69" t="s">
        <v>123</v>
      </c>
    </row>
    <row r="77" spans="1:3" ht="49.5" customHeight="1" x14ac:dyDescent="0.35">
      <c r="A77" s="165"/>
      <c r="B77" s="61" t="s">
        <v>139</v>
      </c>
      <c r="C77" s="69" t="s">
        <v>158</v>
      </c>
    </row>
    <row r="78" spans="1:3" ht="21.75" customHeight="1" x14ac:dyDescent="0.35">
      <c r="A78" s="166"/>
      <c r="B78" s="64" t="s">
        <v>140</v>
      </c>
      <c r="C78" s="70" t="s">
        <v>156</v>
      </c>
    </row>
    <row r="79" spans="1:3" ht="15" customHeight="1" x14ac:dyDescent="0.35">
      <c r="A79" s="162" t="s">
        <v>180</v>
      </c>
      <c r="B79" s="160" t="s">
        <v>181</v>
      </c>
      <c r="C79" s="161"/>
    </row>
    <row r="80" spans="1:3" ht="15" customHeight="1" x14ac:dyDescent="0.35">
      <c r="A80" s="172"/>
      <c r="B80" s="54" t="s">
        <v>137</v>
      </c>
      <c r="C80" s="55" t="s">
        <v>182</v>
      </c>
    </row>
    <row r="81" spans="1:3" ht="15" customHeight="1" x14ac:dyDescent="0.35">
      <c r="A81" s="172"/>
      <c r="B81" s="54" t="s">
        <v>138</v>
      </c>
      <c r="C81" s="55" t="s">
        <v>215</v>
      </c>
    </row>
    <row r="82" spans="1:3" ht="15" customHeight="1" x14ac:dyDescent="0.35">
      <c r="A82" s="163"/>
      <c r="B82" s="57" t="s">
        <v>139</v>
      </c>
      <c r="C82" s="56" t="s">
        <v>183</v>
      </c>
    </row>
  </sheetData>
  <mergeCells count="37">
    <mergeCell ref="A79:A82"/>
    <mergeCell ref="B79:C79"/>
    <mergeCell ref="A70:A73"/>
    <mergeCell ref="A74:A78"/>
    <mergeCell ref="B70:C70"/>
    <mergeCell ref="B74:C74"/>
    <mergeCell ref="A65:A69"/>
    <mergeCell ref="B57:C57"/>
    <mergeCell ref="B52:C52"/>
    <mergeCell ref="A7:A15"/>
    <mergeCell ref="A16:A19"/>
    <mergeCell ref="A20:A29"/>
    <mergeCell ref="A30:A34"/>
    <mergeCell ref="A35:A39"/>
    <mergeCell ref="B65:C65"/>
    <mergeCell ref="B61:C61"/>
    <mergeCell ref="B54:C54"/>
    <mergeCell ref="A55:C55"/>
    <mergeCell ref="A57:A60"/>
    <mergeCell ref="A61:A64"/>
    <mergeCell ref="A56:C56"/>
    <mergeCell ref="A1:C1"/>
    <mergeCell ref="B53:C53"/>
    <mergeCell ref="A2:C2"/>
    <mergeCell ref="A3:C3"/>
    <mergeCell ref="A5:C5"/>
    <mergeCell ref="B6:C6"/>
    <mergeCell ref="B7:C7"/>
    <mergeCell ref="B16:C16"/>
    <mergeCell ref="B20:C20"/>
    <mergeCell ref="A51:A52"/>
    <mergeCell ref="A4:C4"/>
    <mergeCell ref="B35:C35"/>
    <mergeCell ref="B40:C40"/>
    <mergeCell ref="B51:C51"/>
    <mergeCell ref="A40:A50"/>
    <mergeCell ref="B30:C30"/>
  </mergeCells>
  <pageMargins left="0.7" right="0.7" top="0.75" bottom="0.75" header="0.3" footer="0.3"/>
  <pageSetup scale="95" fitToHeight="0" orientation="portrait" horizontalDpi="4294967295" verticalDpi="4294967295" r:id="rId1"/>
  <headerFooter>
    <oddHeader>&amp;CRisk-Limiting Post-Election Audit</oddHeader>
    <oddFooter>&amp;CPage &amp;P of &amp;N</oddFooter>
  </headerFooter>
  <rowBreaks count="2" manualBreakCount="2">
    <brk id="29" max="16383" man="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General Info</vt:lpstr>
      <vt:lpstr>Selected Batches</vt:lpstr>
      <vt:lpstr>Audit</vt:lpstr>
      <vt:lpstr>Sampling Data</vt:lpstr>
      <vt:lpstr>Instructions</vt:lpstr>
      <vt:lpstr>Candidates</vt:lpstr>
      <vt:lpstr>Contest</vt:lpstr>
      <vt:lpstr>Audit!Print_Area</vt:lpstr>
      <vt:lpstr>Audit!Print_Titles</vt:lpstr>
      <vt:lpstr>'General Info'!Print_Titles</vt:lpstr>
      <vt:lpstr>Instructions!Print_Titles</vt:lpstr>
      <vt:lpstr>'Sampling Data'!Print_Titles</vt:lpstr>
      <vt:lpstr>'Selected Batches'!Print_Titles</vt:lpstr>
    </vt:vector>
  </TitlesOfParts>
  <Company>Board of Elections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Culek</dc:creator>
  <cp:lastModifiedBy>Todd Cooper</cp:lastModifiedBy>
  <cp:lastPrinted>2025-05-14T13:00:57Z</cp:lastPrinted>
  <dcterms:created xsi:type="dcterms:W3CDTF">2011-07-25T20:10:01Z</dcterms:created>
  <dcterms:modified xsi:type="dcterms:W3CDTF">2025-05-20T19:18:24Z</dcterms:modified>
</cp:coreProperties>
</file>