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O:\Todd L. Cooper, Jr\2025 Elections\050625\Audit - Recounts\"/>
    </mc:Choice>
  </mc:AlternateContent>
  <xr:revisionPtr revIDLastSave="0" documentId="13_ncr:1_{75B3698B-F53E-4EA4-94F5-8D16860CEA7D}" xr6:coauthVersionLast="47" xr6:coauthVersionMax="47" xr10:uidLastSave="{00000000-0000-0000-0000-000000000000}"/>
  <bookViews>
    <workbookView xWindow="-110" yWindow="-110" windowWidth="38620" windowHeight="2110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Audit!$A$4:$BL$384</definedName>
    <definedName name="Candidates">Table10[#All]</definedName>
    <definedName name="Contest">GeneralInfo[[#Headers],[City of Cincinnati Mayor]]</definedName>
    <definedName name="_xlnm.Print_Area" localSheetId="2">Audit!$A$1:$BN$385</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1" i="8" l="1"/>
  <c r="B382" i="8"/>
  <c r="B383" i="8"/>
  <c r="B384" i="8"/>
  <c r="C381" i="8"/>
  <c r="C382" i="8"/>
  <c r="C383" i="8"/>
  <c r="C384" i="8"/>
  <c r="D381" i="8"/>
  <c r="D382" i="8"/>
  <c r="D383" i="8"/>
  <c r="D384" i="8"/>
  <c r="E381" i="8"/>
  <c r="E382" i="8"/>
  <c r="E383" i="8"/>
  <c r="E384" i="8"/>
  <c r="F381" i="8"/>
  <c r="F382" i="8"/>
  <c r="F383" i="8"/>
  <c r="F384" i="8"/>
  <c r="G381" i="8"/>
  <c r="G382" i="8"/>
  <c r="G383" i="8"/>
  <c r="G384" i="8"/>
  <c r="H381" i="8"/>
  <c r="H382" i="8"/>
  <c r="H383" i="8"/>
  <c r="H384" i="8"/>
  <c r="I381" i="8"/>
  <c r="I382" i="8"/>
  <c r="I383" i="8"/>
  <c r="I384" i="8"/>
  <c r="J381" i="8"/>
  <c r="J382" i="8"/>
  <c r="J383" i="8"/>
  <c r="J384" i="8"/>
  <c r="K381" i="8"/>
  <c r="K382" i="8"/>
  <c r="K383" i="8"/>
  <c r="K384" i="8"/>
  <c r="L381" i="8"/>
  <c r="L382" i="8"/>
  <c r="L383" i="8"/>
  <c r="L384" i="8"/>
  <c r="M381" i="8"/>
  <c r="M382" i="8"/>
  <c r="M383" i="8"/>
  <c r="M384" i="8"/>
  <c r="N381" i="8"/>
  <c r="N382" i="8"/>
  <c r="N383" i="8"/>
  <c r="N384" i="8"/>
  <c r="O381" i="8"/>
  <c r="O382" i="8"/>
  <c r="O383" i="8"/>
  <c r="O384" i="8"/>
  <c r="P381" i="8"/>
  <c r="P382" i="8"/>
  <c r="P383" i="8"/>
  <c r="P384" i="8"/>
  <c r="AE381" i="8"/>
  <c r="AE382" i="8"/>
  <c r="AE383" i="8"/>
  <c r="AE384" i="8"/>
  <c r="AF381" i="8"/>
  <c r="AF382" i="8"/>
  <c r="AF383" i="8"/>
  <c r="AF384" i="8"/>
  <c r="AG381" i="8"/>
  <c r="AG382" i="8"/>
  <c r="AG383" i="8"/>
  <c r="AG384" i="8"/>
  <c r="AH381" i="8"/>
  <c r="AH382" i="8"/>
  <c r="AH383" i="8"/>
  <c r="AH384" i="8"/>
  <c r="AI381" i="8"/>
  <c r="AI382" i="8"/>
  <c r="AI383" i="8"/>
  <c r="AI384" i="8"/>
  <c r="AJ381" i="8"/>
  <c r="AJ382" i="8"/>
  <c r="AJ383" i="8"/>
  <c r="AJ384" i="8"/>
  <c r="AK381" i="8"/>
  <c r="AK382" i="8"/>
  <c r="AK383" i="8"/>
  <c r="AK384" i="8"/>
  <c r="AL381" i="8"/>
  <c r="AL382" i="8"/>
  <c r="AL383" i="8"/>
  <c r="AL384" i="8"/>
  <c r="AM381" i="8"/>
  <c r="AM382" i="8"/>
  <c r="AM383" i="8"/>
  <c r="AM384" i="8"/>
  <c r="AN381" i="8"/>
  <c r="AN382" i="8"/>
  <c r="AN383" i="8"/>
  <c r="AN384" i="8"/>
  <c r="AO381" i="8"/>
  <c r="AO382" i="8"/>
  <c r="AO383" i="8"/>
  <c r="AO384" i="8"/>
  <c r="AP381" i="8"/>
  <c r="AP382" i="8"/>
  <c r="AP383" i="8"/>
  <c r="AP384" i="8"/>
  <c r="AU381" i="8"/>
  <c r="AU382" i="8"/>
  <c r="AU383" i="8"/>
  <c r="AU384" i="8"/>
  <c r="AV381" i="8"/>
  <c r="AV382" i="8"/>
  <c r="AV383" i="8"/>
  <c r="AV384" i="8"/>
  <c r="AW381" i="8"/>
  <c r="AW382" i="8"/>
  <c r="AW383" i="8"/>
  <c r="AW384" i="8"/>
  <c r="AX381" i="8"/>
  <c r="AX382" i="8"/>
  <c r="AX383" i="8"/>
  <c r="AX384" i="8"/>
  <c r="AY381" i="8"/>
  <c r="AY382" i="8"/>
  <c r="AY383" i="8"/>
  <c r="AY384" i="8"/>
  <c r="AZ381" i="8"/>
  <c r="AZ382" i="8"/>
  <c r="AZ383" i="8"/>
  <c r="AZ384" i="8"/>
  <c r="BA381" i="8"/>
  <c r="BA382" i="8"/>
  <c r="BA383" i="8"/>
  <c r="BA384" i="8"/>
  <c r="BB381" i="8"/>
  <c r="BB382" i="8"/>
  <c r="BB383" i="8"/>
  <c r="BB384" i="8"/>
  <c r="BC381" i="8"/>
  <c r="BC382" i="8"/>
  <c r="BC383" i="8"/>
  <c r="BC384" i="8"/>
  <c r="BD381" i="8"/>
  <c r="BD382" i="8"/>
  <c r="BD383" i="8"/>
  <c r="BD384" i="8"/>
  <c r="BE381" i="8"/>
  <c r="BE382" i="8"/>
  <c r="BE383" i="8"/>
  <c r="BE38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E60" i="8"/>
  <c r="AE61" i="8"/>
  <c r="AE62" i="8"/>
  <c r="AE63" i="8"/>
  <c r="AE64" i="8"/>
  <c r="AE65" i="8"/>
  <c r="AE66" i="8"/>
  <c r="AE67" i="8"/>
  <c r="AE68" i="8"/>
  <c r="AE69" i="8"/>
  <c r="AE70" i="8"/>
  <c r="AE71" i="8"/>
  <c r="AE72" i="8"/>
  <c r="AE73" i="8"/>
  <c r="AE74" i="8"/>
  <c r="AE75" i="8"/>
  <c r="AE76" i="8"/>
  <c r="AE77" i="8"/>
  <c r="AE78" i="8"/>
  <c r="AE79" i="8"/>
  <c r="AE80" i="8"/>
  <c r="AE81" i="8"/>
  <c r="AE82" i="8"/>
  <c r="AE83" i="8"/>
  <c r="AE84" i="8"/>
  <c r="AE85" i="8"/>
  <c r="AE86" i="8"/>
  <c r="AE87" i="8"/>
  <c r="AE88" i="8"/>
  <c r="AE89" i="8"/>
  <c r="AE90" i="8"/>
  <c r="AE91" i="8"/>
  <c r="AE92" i="8"/>
  <c r="AE93" i="8"/>
  <c r="AE94" i="8"/>
  <c r="AE95" i="8"/>
  <c r="AE96" i="8"/>
  <c r="AE97" i="8"/>
  <c r="AE98" i="8"/>
  <c r="AE99" i="8"/>
  <c r="AE100" i="8"/>
  <c r="AE101" i="8"/>
  <c r="AE102" i="8"/>
  <c r="AE103" i="8"/>
  <c r="AE104" i="8"/>
  <c r="AE105" i="8"/>
  <c r="AE106" i="8"/>
  <c r="AE107" i="8"/>
  <c r="AE108" i="8"/>
  <c r="AE109" i="8"/>
  <c r="AE110" i="8"/>
  <c r="AE111" i="8"/>
  <c r="AE112" i="8"/>
  <c r="AE113" i="8"/>
  <c r="AE114" i="8"/>
  <c r="AE115" i="8"/>
  <c r="AE116" i="8"/>
  <c r="AE117" i="8"/>
  <c r="AE118" i="8"/>
  <c r="AE119" i="8"/>
  <c r="AE120" i="8"/>
  <c r="AE121" i="8"/>
  <c r="AE122" i="8"/>
  <c r="AE123" i="8"/>
  <c r="AE124" i="8"/>
  <c r="AE125" i="8"/>
  <c r="AE126" i="8"/>
  <c r="AE127" i="8"/>
  <c r="AE128" i="8"/>
  <c r="AE129" i="8"/>
  <c r="AE130" i="8"/>
  <c r="AE131" i="8"/>
  <c r="AE132" i="8"/>
  <c r="AE133" i="8"/>
  <c r="AE134" i="8"/>
  <c r="AE135" i="8"/>
  <c r="AE136" i="8"/>
  <c r="AE137" i="8"/>
  <c r="AE138" i="8"/>
  <c r="AE139" i="8"/>
  <c r="AE140" i="8"/>
  <c r="AE141" i="8"/>
  <c r="AE142" i="8"/>
  <c r="AE143" i="8"/>
  <c r="AE144" i="8"/>
  <c r="AE145" i="8"/>
  <c r="AE146" i="8"/>
  <c r="AE147" i="8"/>
  <c r="AE148" i="8"/>
  <c r="AE149" i="8"/>
  <c r="AE150" i="8"/>
  <c r="AE151" i="8"/>
  <c r="AE152" i="8"/>
  <c r="AE153" i="8"/>
  <c r="AE154" i="8"/>
  <c r="AE155" i="8"/>
  <c r="AE156" i="8"/>
  <c r="AE157" i="8"/>
  <c r="AE158" i="8"/>
  <c r="AE159" i="8"/>
  <c r="AE160" i="8"/>
  <c r="AE161" i="8"/>
  <c r="AE162" i="8"/>
  <c r="AE163" i="8"/>
  <c r="AE164" i="8"/>
  <c r="AE165" i="8"/>
  <c r="AE166" i="8"/>
  <c r="AE167" i="8"/>
  <c r="AE168" i="8"/>
  <c r="AE169" i="8"/>
  <c r="AE170" i="8"/>
  <c r="AE171" i="8"/>
  <c r="AE172" i="8"/>
  <c r="AE173" i="8"/>
  <c r="AE174" i="8"/>
  <c r="AE175" i="8"/>
  <c r="AE176" i="8"/>
  <c r="AE177" i="8"/>
  <c r="AE178" i="8"/>
  <c r="AE179" i="8"/>
  <c r="AE180" i="8"/>
  <c r="AE181" i="8"/>
  <c r="AE182" i="8"/>
  <c r="AE183" i="8"/>
  <c r="AE184" i="8"/>
  <c r="AE185" i="8"/>
  <c r="AE186" i="8"/>
  <c r="AE187" i="8"/>
  <c r="AE188" i="8"/>
  <c r="AE189" i="8"/>
  <c r="AE190" i="8"/>
  <c r="AE191" i="8"/>
  <c r="AE192" i="8"/>
  <c r="AE193" i="8"/>
  <c r="AE194" i="8"/>
  <c r="AE195" i="8"/>
  <c r="AE196" i="8"/>
  <c r="AE197" i="8"/>
  <c r="AE198" i="8"/>
  <c r="AE199" i="8"/>
  <c r="AE200" i="8"/>
  <c r="AE201" i="8"/>
  <c r="AE202" i="8"/>
  <c r="AE203" i="8"/>
  <c r="AE204" i="8"/>
  <c r="AE205" i="8"/>
  <c r="AE206" i="8"/>
  <c r="AE207" i="8"/>
  <c r="AE208" i="8"/>
  <c r="AE209" i="8"/>
  <c r="AE210" i="8"/>
  <c r="AE211" i="8"/>
  <c r="AE212" i="8"/>
  <c r="AE213" i="8"/>
  <c r="AE214" i="8"/>
  <c r="AE215" i="8"/>
  <c r="AE216" i="8"/>
  <c r="AE217" i="8"/>
  <c r="AE218" i="8"/>
  <c r="AE219" i="8"/>
  <c r="AE220" i="8"/>
  <c r="AE221" i="8"/>
  <c r="AE222" i="8"/>
  <c r="AE223" i="8"/>
  <c r="AE224" i="8"/>
  <c r="AE225" i="8"/>
  <c r="AE226" i="8"/>
  <c r="AE227" i="8"/>
  <c r="AE228" i="8"/>
  <c r="AE229" i="8"/>
  <c r="AE230" i="8"/>
  <c r="AE231" i="8"/>
  <c r="AE232" i="8"/>
  <c r="AE233" i="8"/>
  <c r="AE234" i="8"/>
  <c r="AE235" i="8"/>
  <c r="AE236" i="8"/>
  <c r="AE237" i="8"/>
  <c r="AE238" i="8"/>
  <c r="AE239" i="8"/>
  <c r="AE240" i="8"/>
  <c r="AE241" i="8"/>
  <c r="AE242" i="8"/>
  <c r="AE243" i="8"/>
  <c r="AE244" i="8"/>
  <c r="AE245" i="8"/>
  <c r="AE246" i="8"/>
  <c r="AE247" i="8"/>
  <c r="AE248" i="8"/>
  <c r="AE249" i="8"/>
  <c r="AE250" i="8"/>
  <c r="AE251" i="8"/>
  <c r="AE252" i="8"/>
  <c r="AE253" i="8"/>
  <c r="AE254" i="8"/>
  <c r="AE255" i="8"/>
  <c r="AE256" i="8"/>
  <c r="AE257" i="8"/>
  <c r="AE258" i="8"/>
  <c r="AE259" i="8"/>
  <c r="AE260" i="8"/>
  <c r="AE261" i="8"/>
  <c r="AE262" i="8"/>
  <c r="AE263" i="8"/>
  <c r="AE264" i="8"/>
  <c r="AE265" i="8"/>
  <c r="AE266" i="8"/>
  <c r="AE267" i="8"/>
  <c r="AE268" i="8"/>
  <c r="AE269" i="8"/>
  <c r="AE270" i="8"/>
  <c r="AE271" i="8"/>
  <c r="AE272" i="8"/>
  <c r="AE273" i="8"/>
  <c r="AE274" i="8"/>
  <c r="AE275" i="8"/>
  <c r="AE276" i="8"/>
  <c r="AE277" i="8"/>
  <c r="AE278" i="8"/>
  <c r="AE279" i="8"/>
  <c r="AE280" i="8"/>
  <c r="AE281" i="8"/>
  <c r="AE282" i="8"/>
  <c r="AE283" i="8"/>
  <c r="AE284" i="8"/>
  <c r="AE285" i="8"/>
  <c r="AE286" i="8"/>
  <c r="AE287" i="8"/>
  <c r="AE288" i="8"/>
  <c r="AE289" i="8"/>
  <c r="AE290" i="8"/>
  <c r="AE291" i="8"/>
  <c r="AE292" i="8"/>
  <c r="AE293" i="8"/>
  <c r="AE294" i="8"/>
  <c r="AE295" i="8"/>
  <c r="AE296" i="8"/>
  <c r="AE297" i="8"/>
  <c r="AE298" i="8"/>
  <c r="AE299" i="8"/>
  <c r="AE300" i="8"/>
  <c r="AE301" i="8"/>
  <c r="AE302" i="8"/>
  <c r="AE303" i="8"/>
  <c r="AE304" i="8"/>
  <c r="AE305" i="8"/>
  <c r="AE306" i="8"/>
  <c r="AE307" i="8"/>
  <c r="AE308" i="8"/>
  <c r="AE309" i="8"/>
  <c r="AE310" i="8"/>
  <c r="AE311" i="8"/>
  <c r="AE312" i="8"/>
  <c r="AE313" i="8"/>
  <c r="AE314" i="8"/>
  <c r="AE315" i="8"/>
  <c r="AE316" i="8"/>
  <c r="AE317" i="8"/>
  <c r="AE318" i="8"/>
  <c r="AE319" i="8"/>
  <c r="AE320" i="8"/>
  <c r="AE321" i="8"/>
  <c r="AE322" i="8"/>
  <c r="AE323" i="8"/>
  <c r="AE324" i="8"/>
  <c r="AE325" i="8"/>
  <c r="AE326" i="8"/>
  <c r="AE327" i="8"/>
  <c r="AE328" i="8"/>
  <c r="AE329" i="8"/>
  <c r="AE330" i="8"/>
  <c r="AE331" i="8"/>
  <c r="AE332" i="8"/>
  <c r="AE333" i="8"/>
  <c r="AE334" i="8"/>
  <c r="AE335" i="8"/>
  <c r="AE336" i="8"/>
  <c r="AE337" i="8"/>
  <c r="AE338" i="8"/>
  <c r="AE339" i="8"/>
  <c r="AE340" i="8"/>
  <c r="AE341" i="8"/>
  <c r="AE342" i="8"/>
  <c r="AE343" i="8"/>
  <c r="AE344" i="8"/>
  <c r="AE345" i="8"/>
  <c r="AE346" i="8"/>
  <c r="AE347" i="8"/>
  <c r="AE348" i="8"/>
  <c r="AE349" i="8"/>
  <c r="AE350" i="8"/>
  <c r="AE351" i="8"/>
  <c r="AE352" i="8"/>
  <c r="AE353" i="8"/>
  <c r="AE354" i="8"/>
  <c r="AE355" i="8"/>
  <c r="AE356" i="8"/>
  <c r="AE357" i="8"/>
  <c r="AE358" i="8"/>
  <c r="AE359" i="8"/>
  <c r="AE360" i="8"/>
  <c r="AE361" i="8"/>
  <c r="AE362" i="8"/>
  <c r="AE363" i="8"/>
  <c r="AE364" i="8"/>
  <c r="AE365" i="8"/>
  <c r="AE366" i="8"/>
  <c r="AE367" i="8"/>
  <c r="AE368" i="8"/>
  <c r="AE369" i="8"/>
  <c r="AE370" i="8"/>
  <c r="AE371" i="8"/>
  <c r="AE372" i="8"/>
  <c r="AE373" i="8"/>
  <c r="AE374" i="8"/>
  <c r="AE375" i="8"/>
  <c r="AE376" i="8"/>
  <c r="AE377" i="8"/>
  <c r="AE378" i="8"/>
  <c r="AE379" i="8"/>
  <c r="AE380"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F60" i="8"/>
  <c r="AF61" i="8"/>
  <c r="AF62" i="8"/>
  <c r="AF63" i="8"/>
  <c r="AF64" i="8"/>
  <c r="AF65" i="8"/>
  <c r="AF66" i="8"/>
  <c r="AF67" i="8"/>
  <c r="AF68" i="8"/>
  <c r="AF69" i="8"/>
  <c r="AF70" i="8"/>
  <c r="AF71" i="8"/>
  <c r="AF72" i="8"/>
  <c r="AF73" i="8"/>
  <c r="AF74" i="8"/>
  <c r="AF75" i="8"/>
  <c r="AF76" i="8"/>
  <c r="AF77" i="8"/>
  <c r="AF78" i="8"/>
  <c r="AF79" i="8"/>
  <c r="AF80" i="8"/>
  <c r="AF81" i="8"/>
  <c r="AF82" i="8"/>
  <c r="AF83" i="8"/>
  <c r="AF84" i="8"/>
  <c r="AF85" i="8"/>
  <c r="AF86" i="8"/>
  <c r="AF87" i="8"/>
  <c r="AF88" i="8"/>
  <c r="AF89" i="8"/>
  <c r="AF90" i="8"/>
  <c r="AF91" i="8"/>
  <c r="AF92" i="8"/>
  <c r="AF93" i="8"/>
  <c r="AF94" i="8"/>
  <c r="AF95" i="8"/>
  <c r="AF96" i="8"/>
  <c r="AF97" i="8"/>
  <c r="AF98" i="8"/>
  <c r="AF99" i="8"/>
  <c r="AF100" i="8"/>
  <c r="AF101" i="8"/>
  <c r="AF102" i="8"/>
  <c r="AF103" i="8"/>
  <c r="AF104" i="8"/>
  <c r="AF105" i="8"/>
  <c r="AF106" i="8"/>
  <c r="AF107" i="8"/>
  <c r="AF108" i="8"/>
  <c r="AF109" i="8"/>
  <c r="AF110" i="8"/>
  <c r="AF111" i="8"/>
  <c r="AF112" i="8"/>
  <c r="AF113" i="8"/>
  <c r="AF114" i="8"/>
  <c r="AF115" i="8"/>
  <c r="AF116" i="8"/>
  <c r="AF117" i="8"/>
  <c r="AF118" i="8"/>
  <c r="AF119" i="8"/>
  <c r="AF120" i="8"/>
  <c r="AF121" i="8"/>
  <c r="AF122" i="8"/>
  <c r="AF123" i="8"/>
  <c r="AF124" i="8"/>
  <c r="AF125" i="8"/>
  <c r="AF126" i="8"/>
  <c r="AF127" i="8"/>
  <c r="AF128" i="8"/>
  <c r="AF129" i="8"/>
  <c r="AF130" i="8"/>
  <c r="AF131" i="8"/>
  <c r="AF132" i="8"/>
  <c r="AF133" i="8"/>
  <c r="AF134" i="8"/>
  <c r="AF135" i="8"/>
  <c r="AF136" i="8"/>
  <c r="AF137" i="8"/>
  <c r="AF138" i="8"/>
  <c r="AF139" i="8"/>
  <c r="AF140" i="8"/>
  <c r="AF141" i="8"/>
  <c r="AF142" i="8"/>
  <c r="AF143" i="8"/>
  <c r="AF144" i="8"/>
  <c r="AF145" i="8"/>
  <c r="AF146" i="8"/>
  <c r="AF147" i="8"/>
  <c r="AF148" i="8"/>
  <c r="AF149" i="8"/>
  <c r="AF150" i="8"/>
  <c r="AF151" i="8"/>
  <c r="AF152" i="8"/>
  <c r="AF153" i="8"/>
  <c r="AF154" i="8"/>
  <c r="AF155" i="8"/>
  <c r="AF156" i="8"/>
  <c r="AF157" i="8"/>
  <c r="AF158" i="8"/>
  <c r="AF159" i="8"/>
  <c r="AF160" i="8"/>
  <c r="AF161" i="8"/>
  <c r="AF162" i="8"/>
  <c r="AF163" i="8"/>
  <c r="AF164" i="8"/>
  <c r="AF165" i="8"/>
  <c r="AF166" i="8"/>
  <c r="AF167" i="8"/>
  <c r="AF168" i="8"/>
  <c r="AF169" i="8"/>
  <c r="AF170" i="8"/>
  <c r="AF171" i="8"/>
  <c r="AF172" i="8"/>
  <c r="AF173" i="8"/>
  <c r="AF174" i="8"/>
  <c r="AF175" i="8"/>
  <c r="AF176" i="8"/>
  <c r="AF177" i="8"/>
  <c r="AF178" i="8"/>
  <c r="AF179" i="8"/>
  <c r="AF180" i="8"/>
  <c r="AF181" i="8"/>
  <c r="AF182" i="8"/>
  <c r="AF183" i="8"/>
  <c r="AF184" i="8"/>
  <c r="AF185" i="8"/>
  <c r="AF186" i="8"/>
  <c r="AF187" i="8"/>
  <c r="AF188" i="8"/>
  <c r="AF189" i="8"/>
  <c r="AF190" i="8"/>
  <c r="AF191" i="8"/>
  <c r="AF192" i="8"/>
  <c r="AF193" i="8"/>
  <c r="AF194" i="8"/>
  <c r="AF195" i="8"/>
  <c r="AF196" i="8"/>
  <c r="AF197" i="8"/>
  <c r="AF198" i="8"/>
  <c r="AF199" i="8"/>
  <c r="AF200" i="8"/>
  <c r="AF201" i="8"/>
  <c r="AF202" i="8"/>
  <c r="AF203" i="8"/>
  <c r="AF204" i="8"/>
  <c r="AF205" i="8"/>
  <c r="AF206" i="8"/>
  <c r="AF207" i="8"/>
  <c r="AF208" i="8"/>
  <c r="AF209" i="8"/>
  <c r="AF210" i="8"/>
  <c r="AF211" i="8"/>
  <c r="AF212" i="8"/>
  <c r="AF213" i="8"/>
  <c r="AF214" i="8"/>
  <c r="AF215" i="8"/>
  <c r="AF216" i="8"/>
  <c r="AF217" i="8"/>
  <c r="AF218" i="8"/>
  <c r="AF219" i="8"/>
  <c r="AF220" i="8"/>
  <c r="AF221" i="8"/>
  <c r="AF222" i="8"/>
  <c r="AF223" i="8"/>
  <c r="AF224" i="8"/>
  <c r="AF225" i="8"/>
  <c r="AF226" i="8"/>
  <c r="AF227" i="8"/>
  <c r="AF228" i="8"/>
  <c r="AF229" i="8"/>
  <c r="AF230" i="8"/>
  <c r="AF231" i="8"/>
  <c r="AF232" i="8"/>
  <c r="AF233" i="8"/>
  <c r="AF234" i="8"/>
  <c r="AF235" i="8"/>
  <c r="AF236" i="8"/>
  <c r="AF237" i="8"/>
  <c r="AF238" i="8"/>
  <c r="AF239" i="8"/>
  <c r="AF240" i="8"/>
  <c r="AF241" i="8"/>
  <c r="AF242" i="8"/>
  <c r="AF243" i="8"/>
  <c r="AF244" i="8"/>
  <c r="AF245" i="8"/>
  <c r="AF246" i="8"/>
  <c r="AF247" i="8"/>
  <c r="AF248" i="8"/>
  <c r="AF249" i="8"/>
  <c r="AF250" i="8"/>
  <c r="AF251" i="8"/>
  <c r="AF252" i="8"/>
  <c r="AF253" i="8"/>
  <c r="AF254" i="8"/>
  <c r="AF255" i="8"/>
  <c r="AF256" i="8"/>
  <c r="AF257" i="8"/>
  <c r="AF258" i="8"/>
  <c r="AF259" i="8"/>
  <c r="AF260" i="8"/>
  <c r="AF261" i="8"/>
  <c r="AF262" i="8"/>
  <c r="AF263" i="8"/>
  <c r="AF264" i="8"/>
  <c r="AF265" i="8"/>
  <c r="AF266" i="8"/>
  <c r="AF267" i="8"/>
  <c r="AF268" i="8"/>
  <c r="AF269" i="8"/>
  <c r="AF270" i="8"/>
  <c r="AF271" i="8"/>
  <c r="AF272" i="8"/>
  <c r="AF273" i="8"/>
  <c r="AF274" i="8"/>
  <c r="AF275" i="8"/>
  <c r="AF276" i="8"/>
  <c r="AF277" i="8"/>
  <c r="AF278" i="8"/>
  <c r="AF279" i="8"/>
  <c r="AF280" i="8"/>
  <c r="AF281" i="8"/>
  <c r="AF282" i="8"/>
  <c r="AF283" i="8"/>
  <c r="AF284" i="8"/>
  <c r="AF285" i="8"/>
  <c r="AF286" i="8"/>
  <c r="AF287" i="8"/>
  <c r="AF288" i="8"/>
  <c r="AF289" i="8"/>
  <c r="AF290" i="8"/>
  <c r="AF291" i="8"/>
  <c r="AF292" i="8"/>
  <c r="AF293" i="8"/>
  <c r="AF294" i="8"/>
  <c r="AF295" i="8"/>
  <c r="AF296" i="8"/>
  <c r="AF297" i="8"/>
  <c r="AF298" i="8"/>
  <c r="AF299" i="8"/>
  <c r="AF300" i="8"/>
  <c r="AF301" i="8"/>
  <c r="AF302" i="8"/>
  <c r="AF303" i="8"/>
  <c r="AF304" i="8"/>
  <c r="AF305" i="8"/>
  <c r="AF306" i="8"/>
  <c r="AF307" i="8"/>
  <c r="AF308" i="8"/>
  <c r="AF309" i="8"/>
  <c r="AF310" i="8"/>
  <c r="AF311" i="8"/>
  <c r="AF312" i="8"/>
  <c r="AF313" i="8"/>
  <c r="AF314" i="8"/>
  <c r="AF315" i="8"/>
  <c r="AF316" i="8"/>
  <c r="AF317" i="8"/>
  <c r="AF318" i="8"/>
  <c r="AF319" i="8"/>
  <c r="AF320" i="8"/>
  <c r="AF321" i="8"/>
  <c r="AF322" i="8"/>
  <c r="AF323" i="8"/>
  <c r="AF324" i="8"/>
  <c r="AF325" i="8"/>
  <c r="AF326" i="8"/>
  <c r="AF327" i="8"/>
  <c r="AF328" i="8"/>
  <c r="AF329" i="8"/>
  <c r="AF330" i="8"/>
  <c r="AF331" i="8"/>
  <c r="AF332" i="8"/>
  <c r="AF333" i="8"/>
  <c r="AF334" i="8"/>
  <c r="AF335" i="8"/>
  <c r="AF336" i="8"/>
  <c r="AF337" i="8"/>
  <c r="AF338" i="8"/>
  <c r="AF339" i="8"/>
  <c r="AF340" i="8"/>
  <c r="AF341" i="8"/>
  <c r="AF342" i="8"/>
  <c r="AF343" i="8"/>
  <c r="AF344" i="8"/>
  <c r="AF345" i="8"/>
  <c r="AF346" i="8"/>
  <c r="AF347" i="8"/>
  <c r="AF348" i="8"/>
  <c r="AF349" i="8"/>
  <c r="AF350" i="8"/>
  <c r="AF351" i="8"/>
  <c r="AF352" i="8"/>
  <c r="AF353" i="8"/>
  <c r="AF354" i="8"/>
  <c r="AF355" i="8"/>
  <c r="AF356" i="8"/>
  <c r="AF357" i="8"/>
  <c r="AF358" i="8"/>
  <c r="AF359" i="8"/>
  <c r="AF360" i="8"/>
  <c r="AF361" i="8"/>
  <c r="AF362" i="8"/>
  <c r="AF363" i="8"/>
  <c r="AF364" i="8"/>
  <c r="AF365" i="8"/>
  <c r="AF366" i="8"/>
  <c r="AF367" i="8"/>
  <c r="AF368" i="8"/>
  <c r="AF369" i="8"/>
  <c r="AF370" i="8"/>
  <c r="AF371" i="8"/>
  <c r="AF372" i="8"/>
  <c r="AF373" i="8"/>
  <c r="AF374" i="8"/>
  <c r="AF375" i="8"/>
  <c r="AF376" i="8"/>
  <c r="AF377" i="8"/>
  <c r="AF378" i="8"/>
  <c r="AF379" i="8"/>
  <c r="AF380"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G60" i="8"/>
  <c r="AG61" i="8"/>
  <c r="AG62" i="8"/>
  <c r="AG63" i="8"/>
  <c r="AG64" i="8"/>
  <c r="AG65" i="8"/>
  <c r="AG66" i="8"/>
  <c r="AG67" i="8"/>
  <c r="AG68" i="8"/>
  <c r="AG69" i="8"/>
  <c r="AG70" i="8"/>
  <c r="AG71" i="8"/>
  <c r="AG72" i="8"/>
  <c r="AG73" i="8"/>
  <c r="AG74" i="8"/>
  <c r="AG75" i="8"/>
  <c r="AG76" i="8"/>
  <c r="AG77" i="8"/>
  <c r="AG78" i="8"/>
  <c r="AG79" i="8"/>
  <c r="AG80" i="8"/>
  <c r="AG81" i="8"/>
  <c r="AG82" i="8"/>
  <c r="AG83" i="8"/>
  <c r="AG84" i="8"/>
  <c r="AG85" i="8"/>
  <c r="AG86" i="8"/>
  <c r="AG87" i="8"/>
  <c r="AG88" i="8"/>
  <c r="AG89" i="8"/>
  <c r="AG90" i="8"/>
  <c r="AG91" i="8"/>
  <c r="AG92" i="8"/>
  <c r="AG93" i="8"/>
  <c r="AG94" i="8"/>
  <c r="AG95" i="8"/>
  <c r="AG96" i="8"/>
  <c r="AG97" i="8"/>
  <c r="AG98" i="8"/>
  <c r="AG99" i="8"/>
  <c r="AG100" i="8"/>
  <c r="AG101" i="8"/>
  <c r="AG102" i="8"/>
  <c r="AG103" i="8"/>
  <c r="AG104" i="8"/>
  <c r="AG105" i="8"/>
  <c r="AG106" i="8"/>
  <c r="AG107" i="8"/>
  <c r="AG108" i="8"/>
  <c r="AG109" i="8"/>
  <c r="AG110" i="8"/>
  <c r="AG111" i="8"/>
  <c r="AG112" i="8"/>
  <c r="AG113" i="8"/>
  <c r="AG114" i="8"/>
  <c r="AG115" i="8"/>
  <c r="AG116" i="8"/>
  <c r="AG117" i="8"/>
  <c r="AG118" i="8"/>
  <c r="AG119" i="8"/>
  <c r="AG120" i="8"/>
  <c r="AG121" i="8"/>
  <c r="AG122" i="8"/>
  <c r="AG123" i="8"/>
  <c r="AG124" i="8"/>
  <c r="AG125" i="8"/>
  <c r="AG126" i="8"/>
  <c r="AG127" i="8"/>
  <c r="AG128" i="8"/>
  <c r="AG129" i="8"/>
  <c r="AG130" i="8"/>
  <c r="AG131" i="8"/>
  <c r="AG132" i="8"/>
  <c r="AG133" i="8"/>
  <c r="AG134" i="8"/>
  <c r="AG135" i="8"/>
  <c r="AG136" i="8"/>
  <c r="AG137" i="8"/>
  <c r="AG138" i="8"/>
  <c r="AG139" i="8"/>
  <c r="AG140" i="8"/>
  <c r="AG141" i="8"/>
  <c r="AG142" i="8"/>
  <c r="AG143" i="8"/>
  <c r="AG144" i="8"/>
  <c r="AG145" i="8"/>
  <c r="AG146" i="8"/>
  <c r="AG147" i="8"/>
  <c r="AG148" i="8"/>
  <c r="AG149" i="8"/>
  <c r="AG150" i="8"/>
  <c r="AG151" i="8"/>
  <c r="AG152" i="8"/>
  <c r="AG153" i="8"/>
  <c r="AG154" i="8"/>
  <c r="AG155" i="8"/>
  <c r="AG156" i="8"/>
  <c r="AG157" i="8"/>
  <c r="AG158" i="8"/>
  <c r="AG159" i="8"/>
  <c r="AG160" i="8"/>
  <c r="AG161" i="8"/>
  <c r="AG162" i="8"/>
  <c r="AG163" i="8"/>
  <c r="AG164" i="8"/>
  <c r="AG165" i="8"/>
  <c r="AG166" i="8"/>
  <c r="AG167" i="8"/>
  <c r="AG168" i="8"/>
  <c r="AG169" i="8"/>
  <c r="AG170" i="8"/>
  <c r="AG171" i="8"/>
  <c r="AG172" i="8"/>
  <c r="AG173" i="8"/>
  <c r="AG174" i="8"/>
  <c r="AG175" i="8"/>
  <c r="AG176" i="8"/>
  <c r="AG177" i="8"/>
  <c r="AG178" i="8"/>
  <c r="AG179" i="8"/>
  <c r="AG180" i="8"/>
  <c r="AG181" i="8"/>
  <c r="AG182" i="8"/>
  <c r="AG183" i="8"/>
  <c r="AG184" i="8"/>
  <c r="AG185" i="8"/>
  <c r="AG186" i="8"/>
  <c r="AG187" i="8"/>
  <c r="AG188" i="8"/>
  <c r="AG189" i="8"/>
  <c r="AG190" i="8"/>
  <c r="AG191" i="8"/>
  <c r="AG192" i="8"/>
  <c r="AG193" i="8"/>
  <c r="AG194" i="8"/>
  <c r="AG195" i="8"/>
  <c r="AG196" i="8"/>
  <c r="AG197" i="8"/>
  <c r="AG198" i="8"/>
  <c r="AG199" i="8"/>
  <c r="AG200" i="8"/>
  <c r="AG201" i="8"/>
  <c r="AG202" i="8"/>
  <c r="AG203" i="8"/>
  <c r="AG204" i="8"/>
  <c r="AG205" i="8"/>
  <c r="AG206" i="8"/>
  <c r="AG207" i="8"/>
  <c r="AG208" i="8"/>
  <c r="AG209" i="8"/>
  <c r="AG210" i="8"/>
  <c r="AG211" i="8"/>
  <c r="AG212" i="8"/>
  <c r="AG213" i="8"/>
  <c r="AG214" i="8"/>
  <c r="AG215" i="8"/>
  <c r="AG216" i="8"/>
  <c r="AG217" i="8"/>
  <c r="AG218" i="8"/>
  <c r="AG219" i="8"/>
  <c r="AG220" i="8"/>
  <c r="AG221" i="8"/>
  <c r="AG222" i="8"/>
  <c r="AG223" i="8"/>
  <c r="AG224" i="8"/>
  <c r="AG225" i="8"/>
  <c r="AG226" i="8"/>
  <c r="AG227" i="8"/>
  <c r="AG228" i="8"/>
  <c r="AG229" i="8"/>
  <c r="AG230" i="8"/>
  <c r="AG231" i="8"/>
  <c r="AG232" i="8"/>
  <c r="AG233" i="8"/>
  <c r="AG234" i="8"/>
  <c r="AG235" i="8"/>
  <c r="AG236" i="8"/>
  <c r="AG237" i="8"/>
  <c r="AG238" i="8"/>
  <c r="AG239" i="8"/>
  <c r="AG240" i="8"/>
  <c r="AG241" i="8"/>
  <c r="AG242" i="8"/>
  <c r="AG243" i="8"/>
  <c r="AG244" i="8"/>
  <c r="AG245" i="8"/>
  <c r="AG246" i="8"/>
  <c r="AG247" i="8"/>
  <c r="AG248" i="8"/>
  <c r="AG249" i="8"/>
  <c r="AG250" i="8"/>
  <c r="AG251" i="8"/>
  <c r="AG252" i="8"/>
  <c r="AG253" i="8"/>
  <c r="AG254" i="8"/>
  <c r="AG255" i="8"/>
  <c r="AG256" i="8"/>
  <c r="AG257" i="8"/>
  <c r="AG258" i="8"/>
  <c r="AG259" i="8"/>
  <c r="AG260" i="8"/>
  <c r="AG261" i="8"/>
  <c r="AG262" i="8"/>
  <c r="AG263" i="8"/>
  <c r="AG264" i="8"/>
  <c r="AG265" i="8"/>
  <c r="AG266" i="8"/>
  <c r="AG267" i="8"/>
  <c r="AG268" i="8"/>
  <c r="AG269" i="8"/>
  <c r="AG270" i="8"/>
  <c r="AG271" i="8"/>
  <c r="AG272" i="8"/>
  <c r="AG273" i="8"/>
  <c r="AG274" i="8"/>
  <c r="AG275" i="8"/>
  <c r="AG276" i="8"/>
  <c r="AG277" i="8"/>
  <c r="AG278" i="8"/>
  <c r="AG279" i="8"/>
  <c r="AG280" i="8"/>
  <c r="AG281" i="8"/>
  <c r="AG282" i="8"/>
  <c r="AG283" i="8"/>
  <c r="AG284" i="8"/>
  <c r="AG285" i="8"/>
  <c r="AG286" i="8"/>
  <c r="AG287" i="8"/>
  <c r="AG288" i="8"/>
  <c r="AG289" i="8"/>
  <c r="AG290" i="8"/>
  <c r="AG291" i="8"/>
  <c r="AG292" i="8"/>
  <c r="AG293" i="8"/>
  <c r="AG294" i="8"/>
  <c r="AG295" i="8"/>
  <c r="AG296" i="8"/>
  <c r="AG297" i="8"/>
  <c r="AG298" i="8"/>
  <c r="AG299" i="8"/>
  <c r="AG300" i="8"/>
  <c r="AG301" i="8"/>
  <c r="AG302" i="8"/>
  <c r="AG303" i="8"/>
  <c r="AG304" i="8"/>
  <c r="AG305" i="8"/>
  <c r="AG306" i="8"/>
  <c r="AG307" i="8"/>
  <c r="AG308" i="8"/>
  <c r="AG309" i="8"/>
  <c r="AG310" i="8"/>
  <c r="AG311" i="8"/>
  <c r="AG312" i="8"/>
  <c r="AG313" i="8"/>
  <c r="AG314" i="8"/>
  <c r="AG315" i="8"/>
  <c r="AG316" i="8"/>
  <c r="AG317" i="8"/>
  <c r="AG318" i="8"/>
  <c r="AG319" i="8"/>
  <c r="AG320" i="8"/>
  <c r="AG321" i="8"/>
  <c r="AG322" i="8"/>
  <c r="AG323" i="8"/>
  <c r="AG324" i="8"/>
  <c r="AG325" i="8"/>
  <c r="AG326" i="8"/>
  <c r="AG327" i="8"/>
  <c r="AG328" i="8"/>
  <c r="AG329" i="8"/>
  <c r="AG330" i="8"/>
  <c r="AG331" i="8"/>
  <c r="AG332" i="8"/>
  <c r="AG333" i="8"/>
  <c r="AG334" i="8"/>
  <c r="AG335" i="8"/>
  <c r="AG336" i="8"/>
  <c r="AG337" i="8"/>
  <c r="AG338" i="8"/>
  <c r="AG339" i="8"/>
  <c r="AG340" i="8"/>
  <c r="AG341" i="8"/>
  <c r="AG342" i="8"/>
  <c r="AG343" i="8"/>
  <c r="AG344" i="8"/>
  <c r="AG345" i="8"/>
  <c r="AG346" i="8"/>
  <c r="AG347" i="8"/>
  <c r="AG348" i="8"/>
  <c r="AG349" i="8"/>
  <c r="AG350" i="8"/>
  <c r="AG351" i="8"/>
  <c r="AG352" i="8"/>
  <c r="AG353" i="8"/>
  <c r="AG354" i="8"/>
  <c r="AG355" i="8"/>
  <c r="AG356" i="8"/>
  <c r="AG357" i="8"/>
  <c r="AG358" i="8"/>
  <c r="AG359" i="8"/>
  <c r="AG360" i="8"/>
  <c r="AG361" i="8"/>
  <c r="AG362" i="8"/>
  <c r="AG363" i="8"/>
  <c r="AG364" i="8"/>
  <c r="AG365" i="8"/>
  <c r="AG366" i="8"/>
  <c r="AG367" i="8"/>
  <c r="AG368" i="8"/>
  <c r="AG369" i="8"/>
  <c r="AG370" i="8"/>
  <c r="AG371" i="8"/>
  <c r="AG372" i="8"/>
  <c r="AG373" i="8"/>
  <c r="AG374" i="8"/>
  <c r="AG375" i="8"/>
  <c r="AG376" i="8"/>
  <c r="AG377" i="8"/>
  <c r="AG378" i="8"/>
  <c r="AG379" i="8"/>
  <c r="AG380"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18" i="8"/>
  <c r="AH119" i="8"/>
  <c r="AH120" i="8"/>
  <c r="AH121" i="8"/>
  <c r="AH122" i="8"/>
  <c r="AH123" i="8"/>
  <c r="AH124" i="8"/>
  <c r="AH125" i="8"/>
  <c r="AH126" i="8"/>
  <c r="AH127" i="8"/>
  <c r="AH128" i="8"/>
  <c r="AH129" i="8"/>
  <c r="AH130" i="8"/>
  <c r="AH131" i="8"/>
  <c r="AH132" i="8"/>
  <c r="AH133" i="8"/>
  <c r="AH134" i="8"/>
  <c r="AH135" i="8"/>
  <c r="AH136" i="8"/>
  <c r="AH137" i="8"/>
  <c r="AH138" i="8"/>
  <c r="AH139" i="8"/>
  <c r="AH140" i="8"/>
  <c r="AH141" i="8"/>
  <c r="AH142" i="8"/>
  <c r="AH143" i="8"/>
  <c r="AH144" i="8"/>
  <c r="AH145" i="8"/>
  <c r="AH146" i="8"/>
  <c r="AH147" i="8"/>
  <c r="AH148" i="8"/>
  <c r="AH149" i="8"/>
  <c r="AH150" i="8"/>
  <c r="AH151" i="8"/>
  <c r="AH152" i="8"/>
  <c r="AH153" i="8"/>
  <c r="AH154" i="8"/>
  <c r="AH155" i="8"/>
  <c r="AH156" i="8"/>
  <c r="AH157" i="8"/>
  <c r="AH158" i="8"/>
  <c r="AH159" i="8"/>
  <c r="AH160" i="8"/>
  <c r="AH161" i="8"/>
  <c r="AH162" i="8"/>
  <c r="AH163" i="8"/>
  <c r="AH164" i="8"/>
  <c r="AH165" i="8"/>
  <c r="AH166" i="8"/>
  <c r="AH167" i="8"/>
  <c r="AH168" i="8"/>
  <c r="AH169" i="8"/>
  <c r="AH170" i="8"/>
  <c r="AH171" i="8"/>
  <c r="AH172" i="8"/>
  <c r="AH173" i="8"/>
  <c r="AH174" i="8"/>
  <c r="AH175" i="8"/>
  <c r="AH176" i="8"/>
  <c r="AH177" i="8"/>
  <c r="AH178" i="8"/>
  <c r="AH179" i="8"/>
  <c r="AH180" i="8"/>
  <c r="AH181" i="8"/>
  <c r="AH182" i="8"/>
  <c r="AH183" i="8"/>
  <c r="AH184" i="8"/>
  <c r="AH185" i="8"/>
  <c r="AH186" i="8"/>
  <c r="AH187" i="8"/>
  <c r="AH188" i="8"/>
  <c r="AH189" i="8"/>
  <c r="AH190" i="8"/>
  <c r="AH191" i="8"/>
  <c r="AH192" i="8"/>
  <c r="AH193" i="8"/>
  <c r="AH194" i="8"/>
  <c r="AH195" i="8"/>
  <c r="AH196" i="8"/>
  <c r="AH197" i="8"/>
  <c r="AH198" i="8"/>
  <c r="AH199" i="8"/>
  <c r="AH200" i="8"/>
  <c r="AH201" i="8"/>
  <c r="AH202" i="8"/>
  <c r="AH203" i="8"/>
  <c r="AH204" i="8"/>
  <c r="AH205" i="8"/>
  <c r="AH206" i="8"/>
  <c r="AH207" i="8"/>
  <c r="AH208" i="8"/>
  <c r="AH209" i="8"/>
  <c r="AH210" i="8"/>
  <c r="AH211" i="8"/>
  <c r="AH212" i="8"/>
  <c r="AH213" i="8"/>
  <c r="AH214" i="8"/>
  <c r="AH215" i="8"/>
  <c r="AH216" i="8"/>
  <c r="AH217" i="8"/>
  <c r="AH218" i="8"/>
  <c r="AH219" i="8"/>
  <c r="AH220" i="8"/>
  <c r="AH221" i="8"/>
  <c r="AH222" i="8"/>
  <c r="AH223" i="8"/>
  <c r="AH224" i="8"/>
  <c r="AH225" i="8"/>
  <c r="AH226" i="8"/>
  <c r="AH227" i="8"/>
  <c r="AH228" i="8"/>
  <c r="AH229" i="8"/>
  <c r="AH230" i="8"/>
  <c r="AH231" i="8"/>
  <c r="AH232" i="8"/>
  <c r="AH233" i="8"/>
  <c r="AH234" i="8"/>
  <c r="AH235" i="8"/>
  <c r="AH236" i="8"/>
  <c r="AH237" i="8"/>
  <c r="AH238" i="8"/>
  <c r="AH239" i="8"/>
  <c r="AH240" i="8"/>
  <c r="AH241" i="8"/>
  <c r="AH242" i="8"/>
  <c r="AH243" i="8"/>
  <c r="AH244" i="8"/>
  <c r="AH245" i="8"/>
  <c r="AH246" i="8"/>
  <c r="AH247" i="8"/>
  <c r="AH248" i="8"/>
  <c r="AH249" i="8"/>
  <c r="AH250" i="8"/>
  <c r="AH251" i="8"/>
  <c r="AH252" i="8"/>
  <c r="AH253" i="8"/>
  <c r="AH254" i="8"/>
  <c r="AH255" i="8"/>
  <c r="AH256" i="8"/>
  <c r="AH257" i="8"/>
  <c r="AH258" i="8"/>
  <c r="AH259" i="8"/>
  <c r="AH260" i="8"/>
  <c r="AH261" i="8"/>
  <c r="AH262" i="8"/>
  <c r="AH263" i="8"/>
  <c r="AH264" i="8"/>
  <c r="AH265" i="8"/>
  <c r="AH266" i="8"/>
  <c r="AH267" i="8"/>
  <c r="AH268" i="8"/>
  <c r="AH269" i="8"/>
  <c r="AH270" i="8"/>
  <c r="AH271" i="8"/>
  <c r="AH272" i="8"/>
  <c r="AH273" i="8"/>
  <c r="AH274" i="8"/>
  <c r="AH275" i="8"/>
  <c r="AH276" i="8"/>
  <c r="AH277" i="8"/>
  <c r="AH278" i="8"/>
  <c r="AH279" i="8"/>
  <c r="AH280" i="8"/>
  <c r="AH281" i="8"/>
  <c r="AH282" i="8"/>
  <c r="AH283" i="8"/>
  <c r="AH284" i="8"/>
  <c r="AH285" i="8"/>
  <c r="AH286" i="8"/>
  <c r="AH287" i="8"/>
  <c r="AH288" i="8"/>
  <c r="AH289" i="8"/>
  <c r="AH290" i="8"/>
  <c r="AH291" i="8"/>
  <c r="AH292" i="8"/>
  <c r="AH293" i="8"/>
  <c r="AH294" i="8"/>
  <c r="AH295" i="8"/>
  <c r="AH296" i="8"/>
  <c r="AH297" i="8"/>
  <c r="AH298" i="8"/>
  <c r="AH299" i="8"/>
  <c r="AH300" i="8"/>
  <c r="AH301" i="8"/>
  <c r="AH302" i="8"/>
  <c r="AH303" i="8"/>
  <c r="AH304" i="8"/>
  <c r="AH305" i="8"/>
  <c r="AH306" i="8"/>
  <c r="AH307" i="8"/>
  <c r="AH308" i="8"/>
  <c r="AH309" i="8"/>
  <c r="AH310" i="8"/>
  <c r="AH311" i="8"/>
  <c r="AH312" i="8"/>
  <c r="AH313" i="8"/>
  <c r="AH314" i="8"/>
  <c r="AH315" i="8"/>
  <c r="AH316" i="8"/>
  <c r="AH317" i="8"/>
  <c r="AH318" i="8"/>
  <c r="AH319" i="8"/>
  <c r="AH320" i="8"/>
  <c r="AH321" i="8"/>
  <c r="AH322" i="8"/>
  <c r="AH323" i="8"/>
  <c r="AH324" i="8"/>
  <c r="AH325" i="8"/>
  <c r="AH326" i="8"/>
  <c r="AH327" i="8"/>
  <c r="AH328" i="8"/>
  <c r="AH329" i="8"/>
  <c r="AH330" i="8"/>
  <c r="AH331" i="8"/>
  <c r="AH332" i="8"/>
  <c r="AH333" i="8"/>
  <c r="AH334" i="8"/>
  <c r="AH335" i="8"/>
  <c r="AH336" i="8"/>
  <c r="AH337" i="8"/>
  <c r="AH338" i="8"/>
  <c r="AH339" i="8"/>
  <c r="AH340" i="8"/>
  <c r="AH341" i="8"/>
  <c r="AH342" i="8"/>
  <c r="AH343" i="8"/>
  <c r="AH344" i="8"/>
  <c r="AH345" i="8"/>
  <c r="AH346" i="8"/>
  <c r="AH347" i="8"/>
  <c r="AH348" i="8"/>
  <c r="AH349" i="8"/>
  <c r="AH350" i="8"/>
  <c r="AH351" i="8"/>
  <c r="AH352" i="8"/>
  <c r="AH353" i="8"/>
  <c r="AH354" i="8"/>
  <c r="AH355" i="8"/>
  <c r="AH356" i="8"/>
  <c r="AH357" i="8"/>
  <c r="AH358" i="8"/>
  <c r="AH359" i="8"/>
  <c r="AH360" i="8"/>
  <c r="AH361" i="8"/>
  <c r="AH362" i="8"/>
  <c r="AH363" i="8"/>
  <c r="AH364" i="8"/>
  <c r="AH365" i="8"/>
  <c r="AH366" i="8"/>
  <c r="AH367" i="8"/>
  <c r="AH368" i="8"/>
  <c r="AH369" i="8"/>
  <c r="AH370" i="8"/>
  <c r="AH371" i="8"/>
  <c r="AH372" i="8"/>
  <c r="AH373" i="8"/>
  <c r="AH374" i="8"/>
  <c r="AH375" i="8"/>
  <c r="AH376" i="8"/>
  <c r="AH377" i="8"/>
  <c r="AH378" i="8"/>
  <c r="AH379" i="8"/>
  <c r="AH380"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96" i="8"/>
  <c r="AI97" i="8"/>
  <c r="AI98" i="8"/>
  <c r="AI99" i="8"/>
  <c r="AI100" i="8"/>
  <c r="AI101" i="8"/>
  <c r="AI102" i="8"/>
  <c r="AI103" i="8"/>
  <c r="AI104" i="8"/>
  <c r="AI105" i="8"/>
  <c r="AI106" i="8"/>
  <c r="AI107" i="8"/>
  <c r="AI108" i="8"/>
  <c r="AI109" i="8"/>
  <c r="AI110" i="8"/>
  <c r="AI111" i="8"/>
  <c r="AI112" i="8"/>
  <c r="AI113" i="8"/>
  <c r="AI114" i="8"/>
  <c r="AI115" i="8"/>
  <c r="AI116" i="8"/>
  <c r="AI117" i="8"/>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I150" i="8"/>
  <c r="AI151" i="8"/>
  <c r="AI152" i="8"/>
  <c r="AI153" i="8"/>
  <c r="AI154" i="8"/>
  <c r="AI155" i="8"/>
  <c r="AI156" i="8"/>
  <c r="AI157" i="8"/>
  <c r="AI158" i="8"/>
  <c r="AI159" i="8"/>
  <c r="AI160" i="8"/>
  <c r="AI161" i="8"/>
  <c r="AI162" i="8"/>
  <c r="AI163" i="8"/>
  <c r="AI164" i="8"/>
  <c r="AI165" i="8"/>
  <c r="AI166" i="8"/>
  <c r="AI167" i="8"/>
  <c r="AI168" i="8"/>
  <c r="AI169" i="8"/>
  <c r="AI170" i="8"/>
  <c r="AI171" i="8"/>
  <c r="AI172" i="8"/>
  <c r="AI173" i="8"/>
  <c r="AI174" i="8"/>
  <c r="AI175" i="8"/>
  <c r="AI176" i="8"/>
  <c r="AI177" i="8"/>
  <c r="AI178" i="8"/>
  <c r="AI179" i="8"/>
  <c r="AI180" i="8"/>
  <c r="AI181" i="8"/>
  <c r="AI182" i="8"/>
  <c r="AI183" i="8"/>
  <c r="AI184" i="8"/>
  <c r="AI185" i="8"/>
  <c r="AI186" i="8"/>
  <c r="AI187" i="8"/>
  <c r="AI188" i="8"/>
  <c r="AI189" i="8"/>
  <c r="AI190" i="8"/>
  <c r="AI191" i="8"/>
  <c r="AI192" i="8"/>
  <c r="AI193" i="8"/>
  <c r="AI194" i="8"/>
  <c r="AI195" i="8"/>
  <c r="AI196" i="8"/>
  <c r="AI197" i="8"/>
  <c r="AI198" i="8"/>
  <c r="AI199" i="8"/>
  <c r="AI200" i="8"/>
  <c r="AI201" i="8"/>
  <c r="AI202" i="8"/>
  <c r="AI203" i="8"/>
  <c r="AI204" i="8"/>
  <c r="AI205" i="8"/>
  <c r="AI206" i="8"/>
  <c r="AI207" i="8"/>
  <c r="AI208" i="8"/>
  <c r="AI209" i="8"/>
  <c r="AI210" i="8"/>
  <c r="AI211" i="8"/>
  <c r="AI212" i="8"/>
  <c r="AI213" i="8"/>
  <c r="AI214" i="8"/>
  <c r="AI215" i="8"/>
  <c r="AI216" i="8"/>
  <c r="AI217" i="8"/>
  <c r="AI218" i="8"/>
  <c r="AI219" i="8"/>
  <c r="AI220" i="8"/>
  <c r="AI221" i="8"/>
  <c r="AI222" i="8"/>
  <c r="AI223" i="8"/>
  <c r="AI224" i="8"/>
  <c r="AI225" i="8"/>
  <c r="AI226" i="8"/>
  <c r="AI227" i="8"/>
  <c r="AI228" i="8"/>
  <c r="AI229" i="8"/>
  <c r="AI230" i="8"/>
  <c r="AI231" i="8"/>
  <c r="AI232" i="8"/>
  <c r="AI233" i="8"/>
  <c r="AI234" i="8"/>
  <c r="AI235" i="8"/>
  <c r="AI236" i="8"/>
  <c r="AI237" i="8"/>
  <c r="AI238" i="8"/>
  <c r="AI239" i="8"/>
  <c r="AI240" i="8"/>
  <c r="AI241" i="8"/>
  <c r="AI242" i="8"/>
  <c r="AI243" i="8"/>
  <c r="AI244" i="8"/>
  <c r="AI245" i="8"/>
  <c r="AI246" i="8"/>
  <c r="AI247" i="8"/>
  <c r="AI248" i="8"/>
  <c r="AI249" i="8"/>
  <c r="AI250" i="8"/>
  <c r="AI251" i="8"/>
  <c r="AI252" i="8"/>
  <c r="AI253" i="8"/>
  <c r="AI254" i="8"/>
  <c r="AI255" i="8"/>
  <c r="AI256" i="8"/>
  <c r="AI257" i="8"/>
  <c r="AI258" i="8"/>
  <c r="AI259" i="8"/>
  <c r="AI260" i="8"/>
  <c r="AI261" i="8"/>
  <c r="AI262" i="8"/>
  <c r="AI263" i="8"/>
  <c r="AI264" i="8"/>
  <c r="AI265" i="8"/>
  <c r="AI266" i="8"/>
  <c r="AI267" i="8"/>
  <c r="AI268" i="8"/>
  <c r="AI269" i="8"/>
  <c r="AI270" i="8"/>
  <c r="AI271" i="8"/>
  <c r="AI272" i="8"/>
  <c r="AI273" i="8"/>
  <c r="AI274" i="8"/>
  <c r="AI275" i="8"/>
  <c r="AI276" i="8"/>
  <c r="AI277" i="8"/>
  <c r="AI278" i="8"/>
  <c r="AI279" i="8"/>
  <c r="AI280" i="8"/>
  <c r="AI281" i="8"/>
  <c r="AI282" i="8"/>
  <c r="AI283" i="8"/>
  <c r="AI284" i="8"/>
  <c r="AI285" i="8"/>
  <c r="AI286" i="8"/>
  <c r="AI287" i="8"/>
  <c r="AI288" i="8"/>
  <c r="AI289" i="8"/>
  <c r="AI290" i="8"/>
  <c r="AI291" i="8"/>
  <c r="AI292" i="8"/>
  <c r="AI293" i="8"/>
  <c r="AI294" i="8"/>
  <c r="AI295" i="8"/>
  <c r="AI296" i="8"/>
  <c r="AI297" i="8"/>
  <c r="AI298" i="8"/>
  <c r="AI299" i="8"/>
  <c r="AI300" i="8"/>
  <c r="AI301" i="8"/>
  <c r="AI302" i="8"/>
  <c r="AI303" i="8"/>
  <c r="AI304" i="8"/>
  <c r="AI305" i="8"/>
  <c r="AI306" i="8"/>
  <c r="AI307" i="8"/>
  <c r="AI308" i="8"/>
  <c r="AI309" i="8"/>
  <c r="AI310" i="8"/>
  <c r="AI311" i="8"/>
  <c r="AI312" i="8"/>
  <c r="AI313" i="8"/>
  <c r="AI314" i="8"/>
  <c r="AI315" i="8"/>
  <c r="AI316" i="8"/>
  <c r="AI317" i="8"/>
  <c r="AI318" i="8"/>
  <c r="AI319" i="8"/>
  <c r="AI320" i="8"/>
  <c r="AI321" i="8"/>
  <c r="AI322" i="8"/>
  <c r="AI323" i="8"/>
  <c r="AI324" i="8"/>
  <c r="AI325" i="8"/>
  <c r="AI326" i="8"/>
  <c r="AI327" i="8"/>
  <c r="AI328" i="8"/>
  <c r="AI329" i="8"/>
  <c r="AI330" i="8"/>
  <c r="AI331" i="8"/>
  <c r="AI332" i="8"/>
  <c r="AI333" i="8"/>
  <c r="AI334" i="8"/>
  <c r="AI335" i="8"/>
  <c r="AI336" i="8"/>
  <c r="AI337" i="8"/>
  <c r="AI338" i="8"/>
  <c r="AI339" i="8"/>
  <c r="AI340" i="8"/>
  <c r="AI341" i="8"/>
  <c r="AI342" i="8"/>
  <c r="AI343" i="8"/>
  <c r="AI344" i="8"/>
  <c r="AI345" i="8"/>
  <c r="AI346" i="8"/>
  <c r="AI347" i="8"/>
  <c r="AI348" i="8"/>
  <c r="AI349" i="8"/>
  <c r="AI350" i="8"/>
  <c r="AI351" i="8"/>
  <c r="AI352" i="8"/>
  <c r="AI353" i="8"/>
  <c r="AI354" i="8"/>
  <c r="AI355" i="8"/>
  <c r="AI356" i="8"/>
  <c r="AI357" i="8"/>
  <c r="AI358" i="8"/>
  <c r="AI359" i="8"/>
  <c r="AI360" i="8"/>
  <c r="AI361" i="8"/>
  <c r="AI362" i="8"/>
  <c r="AI363" i="8"/>
  <c r="AI364" i="8"/>
  <c r="AI365" i="8"/>
  <c r="AI366" i="8"/>
  <c r="AI367" i="8"/>
  <c r="AI368" i="8"/>
  <c r="AI369" i="8"/>
  <c r="AI370" i="8"/>
  <c r="AI371" i="8"/>
  <c r="AI372" i="8"/>
  <c r="AI373" i="8"/>
  <c r="AI374" i="8"/>
  <c r="AI375" i="8"/>
  <c r="AI376" i="8"/>
  <c r="AI377" i="8"/>
  <c r="AI378" i="8"/>
  <c r="AI379" i="8"/>
  <c r="AI380"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58" i="8"/>
  <c r="AJ59" i="8"/>
  <c r="AJ60" i="8"/>
  <c r="AJ61" i="8"/>
  <c r="AJ62" i="8"/>
  <c r="AJ63" i="8"/>
  <c r="AJ64" i="8"/>
  <c r="AJ65" i="8"/>
  <c r="AJ66" i="8"/>
  <c r="AJ67" i="8"/>
  <c r="AJ68" i="8"/>
  <c r="AJ69" i="8"/>
  <c r="AJ70" i="8"/>
  <c r="AJ71" i="8"/>
  <c r="AJ72" i="8"/>
  <c r="AJ73" i="8"/>
  <c r="AJ74" i="8"/>
  <c r="AJ75" i="8"/>
  <c r="AJ76" i="8"/>
  <c r="AJ77" i="8"/>
  <c r="AJ78" i="8"/>
  <c r="AJ79" i="8"/>
  <c r="AJ80" i="8"/>
  <c r="AJ81" i="8"/>
  <c r="AJ82" i="8"/>
  <c r="AJ83" i="8"/>
  <c r="AJ84" i="8"/>
  <c r="AJ85" i="8"/>
  <c r="AJ86" i="8"/>
  <c r="AJ87" i="8"/>
  <c r="AJ88" i="8"/>
  <c r="AJ89" i="8"/>
  <c r="AJ90" i="8"/>
  <c r="AJ91" i="8"/>
  <c r="AJ92" i="8"/>
  <c r="AJ93" i="8"/>
  <c r="AJ94" i="8"/>
  <c r="AJ95" i="8"/>
  <c r="AJ96" i="8"/>
  <c r="AJ97" i="8"/>
  <c r="AJ98" i="8"/>
  <c r="AJ99" i="8"/>
  <c r="AJ100" i="8"/>
  <c r="AJ101" i="8"/>
  <c r="AJ102" i="8"/>
  <c r="AJ103" i="8"/>
  <c r="AJ104" i="8"/>
  <c r="AJ105" i="8"/>
  <c r="AJ106" i="8"/>
  <c r="AJ107" i="8"/>
  <c r="AJ108" i="8"/>
  <c r="AJ109" i="8"/>
  <c r="AJ110" i="8"/>
  <c r="AJ111" i="8"/>
  <c r="AJ112" i="8"/>
  <c r="AJ113" i="8"/>
  <c r="AJ114" i="8"/>
  <c r="AJ115" i="8"/>
  <c r="AJ116" i="8"/>
  <c r="AJ117" i="8"/>
  <c r="AJ118" i="8"/>
  <c r="AJ119" i="8"/>
  <c r="AJ120" i="8"/>
  <c r="AJ121" i="8"/>
  <c r="AJ122" i="8"/>
  <c r="AJ123" i="8"/>
  <c r="AJ124" i="8"/>
  <c r="AJ125" i="8"/>
  <c r="AJ126" i="8"/>
  <c r="AJ127" i="8"/>
  <c r="AJ128" i="8"/>
  <c r="AJ129" i="8"/>
  <c r="AJ130" i="8"/>
  <c r="AJ131" i="8"/>
  <c r="AJ132" i="8"/>
  <c r="AJ133" i="8"/>
  <c r="AJ134" i="8"/>
  <c r="AJ135" i="8"/>
  <c r="AJ136" i="8"/>
  <c r="AJ137" i="8"/>
  <c r="AJ138" i="8"/>
  <c r="AJ139" i="8"/>
  <c r="AJ140" i="8"/>
  <c r="AJ141" i="8"/>
  <c r="AJ142" i="8"/>
  <c r="AJ143" i="8"/>
  <c r="AJ144" i="8"/>
  <c r="AJ145" i="8"/>
  <c r="AJ146" i="8"/>
  <c r="AJ147" i="8"/>
  <c r="AJ148" i="8"/>
  <c r="AJ149" i="8"/>
  <c r="AJ150" i="8"/>
  <c r="AJ151" i="8"/>
  <c r="AJ152" i="8"/>
  <c r="AJ153" i="8"/>
  <c r="AJ154" i="8"/>
  <c r="AJ155" i="8"/>
  <c r="AJ156" i="8"/>
  <c r="AJ157" i="8"/>
  <c r="AJ158" i="8"/>
  <c r="AJ159" i="8"/>
  <c r="AJ160" i="8"/>
  <c r="AJ161" i="8"/>
  <c r="AJ162" i="8"/>
  <c r="AJ163" i="8"/>
  <c r="AJ164" i="8"/>
  <c r="AJ165" i="8"/>
  <c r="AJ166" i="8"/>
  <c r="AJ167" i="8"/>
  <c r="AJ168" i="8"/>
  <c r="AJ169" i="8"/>
  <c r="AJ170" i="8"/>
  <c r="AJ171" i="8"/>
  <c r="AJ172" i="8"/>
  <c r="AJ173" i="8"/>
  <c r="AJ174" i="8"/>
  <c r="AJ175" i="8"/>
  <c r="AJ176" i="8"/>
  <c r="AJ177" i="8"/>
  <c r="AJ178" i="8"/>
  <c r="AJ179" i="8"/>
  <c r="AJ180" i="8"/>
  <c r="AJ181" i="8"/>
  <c r="AJ182" i="8"/>
  <c r="AJ183" i="8"/>
  <c r="AJ184" i="8"/>
  <c r="AJ185" i="8"/>
  <c r="AJ186" i="8"/>
  <c r="AJ187" i="8"/>
  <c r="AJ188" i="8"/>
  <c r="AJ189" i="8"/>
  <c r="AJ190" i="8"/>
  <c r="AJ191" i="8"/>
  <c r="AJ192" i="8"/>
  <c r="AJ193" i="8"/>
  <c r="AJ194" i="8"/>
  <c r="AJ195" i="8"/>
  <c r="AJ196" i="8"/>
  <c r="AJ197" i="8"/>
  <c r="AJ198" i="8"/>
  <c r="AJ199" i="8"/>
  <c r="AJ200" i="8"/>
  <c r="AJ201" i="8"/>
  <c r="AJ202" i="8"/>
  <c r="AJ203" i="8"/>
  <c r="AJ204" i="8"/>
  <c r="AJ205" i="8"/>
  <c r="AJ206" i="8"/>
  <c r="AJ207" i="8"/>
  <c r="AJ208" i="8"/>
  <c r="AJ209" i="8"/>
  <c r="AJ210" i="8"/>
  <c r="AJ211" i="8"/>
  <c r="AJ212" i="8"/>
  <c r="AJ213" i="8"/>
  <c r="AJ214" i="8"/>
  <c r="AJ215" i="8"/>
  <c r="AJ216" i="8"/>
  <c r="AJ217" i="8"/>
  <c r="AJ218" i="8"/>
  <c r="AJ219" i="8"/>
  <c r="AJ220" i="8"/>
  <c r="AJ221" i="8"/>
  <c r="AJ222" i="8"/>
  <c r="AJ223" i="8"/>
  <c r="AJ224" i="8"/>
  <c r="AJ225" i="8"/>
  <c r="AJ226" i="8"/>
  <c r="AJ227" i="8"/>
  <c r="AJ228" i="8"/>
  <c r="AJ229" i="8"/>
  <c r="AJ230" i="8"/>
  <c r="AJ231" i="8"/>
  <c r="AJ232" i="8"/>
  <c r="AJ233" i="8"/>
  <c r="AJ234" i="8"/>
  <c r="AJ235" i="8"/>
  <c r="AJ236" i="8"/>
  <c r="AJ237" i="8"/>
  <c r="AJ238" i="8"/>
  <c r="AJ239" i="8"/>
  <c r="AJ240" i="8"/>
  <c r="AJ241" i="8"/>
  <c r="AJ242" i="8"/>
  <c r="AJ243" i="8"/>
  <c r="AJ244" i="8"/>
  <c r="AJ245" i="8"/>
  <c r="AJ246" i="8"/>
  <c r="AJ247" i="8"/>
  <c r="AJ248" i="8"/>
  <c r="AJ249" i="8"/>
  <c r="AJ250" i="8"/>
  <c r="AJ251" i="8"/>
  <c r="AJ252" i="8"/>
  <c r="AJ253" i="8"/>
  <c r="AJ254" i="8"/>
  <c r="AJ255" i="8"/>
  <c r="AJ256" i="8"/>
  <c r="AJ257" i="8"/>
  <c r="AJ258" i="8"/>
  <c r="AJ259" i="8"/>
  <c r="AJ260" i="8"/>
  <c r="AJ261" i="8"/>
  <c r="AJ262" i="8"/>
  <c r="AJ263" i="8"/>
  <c r="AJ264" i="8"/>
  <c r="AJ265" i="8"/>
  <c r="AJ266" i="8"/>
  <c r="AJ267" i="8"/>
  <c r="AJ268" i="8"/>
  <c r="AJ269" i="8"/>
  <c r="AJ270" i="8"/>
  <c r="AJ271" i="8"/>
  <c r="AJ272" i="8"/>
  <c r="AJ273" i="8"/>
  <c r="AJ274" i="8"/>
  <c r="AJ275" i="8"/>
  <c r="AJ276" i="8"/>
  <c r="AJ277" i="8"/>
  <c r="AJ278" i="8"/>
  <c r="AJ279" i="8"/>
  <c r="AJ280" i="8"/>
  <c r="AJ281" i="8"/>
  <c r="AJ282" i="8"/>
  <c r="AJ283" i="8"/>
  <c r="AJ284" i="8"/>
  <c r="AJ285" i="8"/>
  <c r="AJ286" i="8"/>
  <c r="AJ287" i="8"/>
  <c r="AJ288" i="8"/>
  <c r="AJ289" i="8"/>
  <c r="AJ290" i="8"/>
  <c r="AJ291" i="8"/>
  <c r="AJ292" i="8"/>
  <c r="AJ293" i="8"/>
  <c r="AJ294" i="8"/>
  <c r="AJ295" i="8"/>
  <c r="AJ296" i="8"/>
  <c r="AJ297" i="8"/>
  <c r="AJ298" i="8"/>
  <c r="AJ299" i="8"/>
  <c r="AJ300" i="8"/>
  <c r="AJ301" i="8"/>
  <c r="AJ302" i="8"/>
  <c r="AJ303" i="8"/>
  <c r="AJ304" i="8"/>
  <c r="AJ305" i="8"/>
  <c r="AJ306" i="8"/>
  <c r="AJ307" i="8"/>
  <c r="AJ308" i="8"/>
  <c r="AJ309" i="8"/>
  <c r="AJ310" i="8"/>
  <c r="AJ311" i="8"/>
  <c r="AJ312" i="8"/>
  <c r="AJ313" i="8"/>
  <c r="AJ314" i="8"/>
  <c r="AJ315" i="8"/>
  <c r="AJ316" i="8"/>
  <c r="AJ317" i="8"/>
  <c r="AJ318" i="8"/>
  <c r="AJ319" i="8"/>
  <c r="AJ320" i="8"/>
  <c r="AJ321" i="8"/>
  <c r="AJ322" i="8"/>
  <c r="AJ323" i="8"/>
  <c r="AJ324" i="8"/>
  <c r="AJ325" i="8"/>
  <c r="AJ326" i="8"/>
  <c r="AJ327" i="8"/>
  <c r="AJ328" i="8"/>
  <c r="AJ329" i="8"/>
  <c r="AJ330" i="8"/>
  <c r="AJ331" i="8"/>
  <c r="AJ332" i="8"/>
  <c r="AJ333" i="8"/>
  <c r="AJ334" i="8"/>
  <c r="AJ335" i="8"/>
  <c r="AJ336" i="8"/>
  <c r="AJ337" i="8"/>
  <c r="AJ338" i="8"/>
  <c r="AJ339" i="8"/>
  <c r="AJ340" i="8"/>
  <c r="AJ341" i="8"/>
  <c r="AJ342" i="8"/>
  <c r="AJ343" i="8"/>
  <c r="AJ344" i="8"/>
  <c r="AJ345" i="8"/>
  <c r="AJ346" i="8"/>
  <c r="AJ347" i="8"/>
  <c r="AJ348" i="8"/>
  <c r="AJ349" i="8"/>
  <c r="AJ350" i="8"/>
  <c r="AJ351" i="8"/>
  <c r="AJ352" i="8"/>
  <c r="AJ353" i="8"/>
  <c r="AJ354" i="8"/>
  <c r="AJ355" i="8"/>
  <c r="AJ356" i="8"/>
  <c r="AJ357" i="8"/>
  <c r="AJ358" i="8"/>
  <c r="AJ359" i="8"/>
  <c r="AJ360" i="8"/>
  <c r="AJ361" i="8"/>
  <c r="AJ362" i="8"/>
  <c r="AJ363" i="8"/>
  <c r="AJ364" i="8"/>
  <c r="AJ365" i="8"/>
  <c r="AJ366" i="8"/>
  <c r="AJ367" i="8"/>
  <c r="AJ368" i="8"/>
  <c r="AJ369" i="8"/>
  <c r="AJ370" i="8"/>
  <c r="AJ371" i="8"/>
  <c r="AJ372" i="8"/>
  <c r="AJ373" i="8"/>
  <c r="AJ374" i="8"/>
  <c r="AJ375" i="8"/>
  <c r="AJ376" i="8"/>
  <c r="AJ377" i="8"/>
  <c r="AJ378" i="8"/>
  <c r="AJ379" i="8"/>
  <c r="AJ380"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3" i="8"/>
  <c r="AK124" i="8"/>
  <c r="AK125" i="8"/>
  <c r="AK126" i="8"/>
  <c r="AK127" i="8"/>
  <c r="AK128" i="8"/>
  <c r="AK129" i="8"/>
  <c r="AK130" i="8"/>
  <c r="AK131" i="8"/>
  <c r="AK132" i="8"/>
  <c r="AK133" i="8"/>
  <c r="AK134" i="8"/>
  <c r="AK135" i="8"/>
  <c r="AK136" i="8"/>
  <c r="AK137" i="8"/>
  <c r="AK138" i="8"/>
  <c r="AK139" i="8"/>
  <c r="AK140" i="8"/>
  <c r="AK141" i="8"/>
  <c r="AK142" i="8"/>
  <c r="AK143" i="8"/>
  <c r="AK144" i="8"/>
  <c r="AK145" i="8"/>
  <c r="AK146" i="8"/>
  <c r="AK147" i="8"/>
  <c r="AK148" i="8"/>
  <c r="AK149" i="8"/>
  <c r="AK150" i="8"/>
  <c r="AK151" i="8"/>
  <c r="AK152" i="8"/>
  <c r="AK153" i="8"/>
  <c r="AK154" i="8"/>
  <c r="AK155" i="8"/>
  <c r="AK156" i="8"/>
  <c r="AK157" i="8"/>
  <c r="AK158" i="8"/>
  <c r="AK159" i="8"/>
  <c r="AK160" i="8"/>
  <c r="AK161" i="8"/>
  <c r="AK162" i="8"/>
  <c r="AK163" i="8"/>
  <c r="AK164" i="8"/>
  <c r="AK165" i="8"/>
  <c r="AK166" i="8"/>
  <c r="AK167" i="8"/>
  <c r="AK168" i="8"/>
  <c r="AK169" i="8"/>
  <c r="AK170" i="8"/>
  <c r="AK171" i="8"/>
  <c r="AK172" i="8"/>
  <c r="AK173" i="8"/>
  <c r="AK174" i="8"/>
  <c r="AK175" i="8"/>
  <c r="AK176" i="8"/>
  <c r="AK177" i="8"/>
  <c r="AK178" i="8"/>
  <c r="AK179" i="8"/>
  <c r="AK180" i="8"/>
  <c r="AK181" i="8"/>
  <c r="AK182" i="8"/>
  <c r="AK183" i="8"/>
  <c r="AK184" i="8"/>
  <c r="AK185" i="8"/>
  <c r="AK186" i="8"/>
  <c r="AK187" i="8"/>
  <c r="AK188" i="8"/>
  <c r="AK189" i="8"/>
  <c r="AK190" i="8"/>
  <c r="AK191" i="8"/>
  <c r="AK192" i="8"/>
  <c r="AK193" i="8"/>
  <c r="AK194" i="8"/>
  <c r="AK195" i="8"/>
  <c r="AK196" i="8"/>
  <c r="AK197" i="8"/>
  <c r="AK198" i="8"/>
  <c r="AK199" i="8"/>
  <c r="AK200" i="8"/>
  <c r="AK201" i="8"/>
  <c r="AK202" i="8"/>
  <c r="AK203" i="8"/>
  <c r="AK204" i="8"/>
  <c r="AK205" i="8"/>
  <c r="AK206" i="8"/>
  <c r="AK207" i="8"/>
  <c r="AK208" i="8"/>
  <c r="AK209" i="8"/>
  <c r="AK210" i="8"/>
  <c r="AK211" i="8"/>
  <c r="AK212" i="8"/>
  <c r="AK213" i="8"/>
  <c r="AK214" i="8"/>
  <c r="AK215" i="8"/>
  <c r="AK216" i="8"/>
  <c r="AK217" i="8"/>
  <c r="AK218" i="8"/>
  <c r="AK219" i="8"/>
  <c r="AK220" i="8"/>
  <c r="AK221" i="8"/>
  <c r="AK222" i="8"/>
  <c r="AK223" i="8"/>
  <c r="AK224" i="8"/>
  <c r="AK225" i="8"/>
  <c r="AK226" i="8"/>
  <c r="AK227" i="8"/>
  <c r="AK228" i="8"/>
  <c r="AK229" i="8"/>
  <c r="AK230" i="8"/>
  <c r="AK231" i="8"/>
  <c r="AK232" i="8"/>
  <c r="AK233" i="8"/>
  <c r="AK234" i="8"/>
  <c r="AK235" i="8"/>
  <c r="AK236" i="8"/>
  <c r="AK237" i="8"/>
  <c r="AK238" i="8"/>
  <c r="AK239" i="8"/>
  <c r="AK240" i="8"/>
  <c r="AK241" i="8"/>
  <c r="AK242" i="8"/>
  <c r="AK243" i="8"/>
  <c r="AK244" i="8"/>
  <c r="AK245" i="8"/>
  <c r="AK246" i="8"/>
  <c r="AK247" i="8"/>
  <c r="AK248" i="8"/>
  <c r="AK249" i="8"/>
  <c r="AK250" i="8"/>
  <c r="AK251" i="8"/>
  <c r="AK252" i="8"/>
  <c r="AK253" i="8"/>
  <c r="AK254" i="8"/>
  <c r="AK255" i="8"/>
  <c r="AK256" i="8"/>
  <c r="AK257" i="8"/>
  <c r="AK258" i="8"/>
  <c r="AK259" i="8"/>
  <c r="AK260" i="8"/>
  <c r="AK261" i="8"/>
  <c r="AK262" i="8"/>
  <c r="AK263" i="8"/>
  <c r="AK264" i="8"/>
  <c r="AK265" i="8"/>
  <c r="AK266" i="8"/>
  <c r="AK267" i="8"/>
  <c r="AK268" i="8"/>
  <c r="AK269" i="8"/>
  <c r="AK270" i="8"/>
  <c r="AK271" i="8"/>
  <c r="AK272" i="8"/>
  <c r="AK273" i="8"/>
  <c r="AK274" i="8"/>
  <c r="AK275" i="8"/>
  <c r="AK276" i="8"/>
  <c r="AK277" i="8"/>
  <c r="AK278" i="8"/>
  <c r="AK279" i="8"/>
  <c r="AK280" i="8"/>
  <c r="AK281" i="8"/>
  <c r="AK282" i="8"/>
  <c r="AK283" i="8"/>
  <c r="AK284" i="8"/>
  <c r="AK285" i="8"/>
  <c r="AK286" i="8"/>
  <c r="AK287" i="8"/>
  <c r="AK288" i="8"/>
  <c r="AK289" i="8"/>
  <c r="AK290" i="8"/>
  <c r="AK291" i="8"/>
  <c r="AK292" i="8"/>
  <c r="AK293" i="8"/>
  <c r="AK294" i="8"/>
  <c r="AK295" i="8"/>
  <c r="AK296" i="8"/>
  <c r="AK297" i="8"/>
  <c r="AK298" i="8"/>
  <c r="AK299" i="8"/>
  <c r="AK300" i="8"/>
  <c r="AK301" i="8"/>
  <c r="AK302" i="8"/>
  <c r="AK303" i="8"/>
  <c r="AK304" i="8"/>
  <c r="AK305" i="8"/>
  <c r="AK306" i="8"/>
  <c r="AK307" i="8"/>
  <c r="AK308" i="8"/>
  <c r="AK309" i="8"/>
  <c r="AK310" i="8"/>
  <c r="AK311" i="8"/>
  <c r="AK312" i="8"/>
  <c r="AK313" i="8"/>
  <c r="AK314" i="8"/>
  <c r="AK315" i="8"/>
  <c r="AK316" i="8"/>
  <c r="AK317" i="8"/>
  <c r="AK318" i="8"/>
  <c r="AK319" i="8"/>
  <c r="AK320" i="8"/>
  <c r="AK321" i="8"/>
  <c r="AK322" i="8"/>
  <c r="AK323" i="8"/>
  <c r="AK324" i="8"/>
  <c r="AK325" i="8"/>
  <c r="AK326" i="8"/>
  <c r="AK327" i="8"/>
  <c r="AK328" i="8"/>
  <c r="AK329" i="8"/>
  <c r="AK330" i="8"/>
  <c r="AK331" i="8"/>
  <c r="AK332" i="8"/>
  <c r="AK333" i="8"/>
  <c r="AK334" i="8"/>
  <c r="AK335" i="8"/>
  <c r="AK336" i="8"/>
  <c r="AK337" i="8"/>
  <c r="AK338" i="8"/>
  <c r="AK339" i="8"/>
  <c r="AK340" i="8"/>
  <c r="AK341" i="8"/>
  <c r="AK342" i="8"/>
  <c r="AK343" i="8"/>
  <c r="AK344" i="8"/>
  <c r="AK345" i="8"/>
  <c r="AK346" i="8"/>
  <c r="AK347" i="8"/>
  <c r="AK348" i="8"/>
  <c r="AK349" i="8"/>
  <c r="AK350" i="8"/>
  <c r="AK351" i="8"/>
  <c r="AK352" i="8"/>
  <c r="AK353" i="8"/>
  <c r="AK354" i="8"/>
  <c r="AK355" i="8"/>
  <c r="AK356" i="8"/>
  <c r="AK357" i="8"/>
  <c r="AK358" i="8"/>
  <c r="AK359" i="8"/>
  <c r="AK360" i="8"/>
  <c r="AK361" i="8"/>
  <c r="AK362" i="8"/>
  <c r="AK363" i="8"/>
  <c r="AK364" i="8"/>
  <c r="AK365" i="8"/>
  <c r="AK366" i="8"/>
  <c r="AK367" i="8"/>
  <c r="AK368" i="8"/>
  <c r="AK369" i="8"/>
  <c r="AK370" i="8"/>
  <c r="AK371" i="8"/>
  <c r="AK372" i="8"/>
  <c r="AK373" i="8"/>
  <c r="AK374" i="8"/>
  <c r="AK375" i="8"/>
  <c r="AK376" i="8"/>
  <c r="AK377" i="8"/>
  <c r="AK378" i="8"/>
  <c r="AK379" i="8"/>
  <c r="AK380"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10" i="8"/>
  <c r="AL111" i="8"/>
  <c r="AL112" i="8"/>
  <c r="AL113" i="8"/>
  <c r="AL114" i="8"/>
  <c r="AL115" i="8"/>
  <c r="AL116" i="8"/>
  <c r="AL117" i="8"/>
  <c r="AL118" i="8"/>
  <c r="AL119" i="8"/>
  <c r="AL120" i="8"/>
  <c r="AL121" i="8"/>
  <c r="AL122" i="8"/>
  <c r="AL123" i="8"/>
  <c r="AL124" i="8"/>
  <c r="AL125" i="8"/>
  <c r="AL126" i="8"/>
  <c r="AL127" i="8"/>
  <c r="AL128" i="8"/>
  <c r="AL129" i="8"/>
  <c r="AL130" i="8"/>
  <c r="AL131" i="8"/>
  <c r="AL132" i="8"/>
  <c r="AL133" i="8"/>
  <c r="AL134" i="8"/>
  <c r="AL135" i="8"/>
  <c r="AL136" i="8"/>
  <c r="AL137" i="8"/>
  <c r="AL138" i="8"/>
  <c r="AL139" i="8"/>
  <c r="AL140" i="8"/>
  <c r="AL141" i="8"/>
  <c r="AL142" i="8"/>
  <c r="AL143" i="8"/>
  <c r="AL144" i="8"/>
  <c r="AL145" i="8"/>
  <c r="AL146" i="8"/>
  <c r="AL147" i="8"/>
  <c r="AL148" i="8"/>
  <c r="AL149" i="8"/>
  <c r="AL150" i="8"/>
  <c r="AL151" i="8"/>
  <c r="AL152" i="8"/>
  <c r="AL153" i="8"/>
  <c r="AL154" i="8"/>
  <c r="AL155" i="8"/>
  <c r="AL156" i="8"/>
  <c r="AL157" i="8"/>
  <c r="AL158" i="8"/>
  <c r="AL159" i="8"/>
  <c r="AL160" i="8"/>
  <c r="AL161" i="8"/>
  <c r="AL162" i="8"/>
  <c r="AL163" i="8"/>
  <c r="AL164" i="8"/>
  <c r="AL165" i="8"/>
  <c r="AL166" i="8"/>
  <c r="AL167" i="8"/>
  <c r="AL168" i="8"/>
  <c r="AL169" i="8"/>
  <c r="AL170" i="8"/>
  <c r="AL171" i="8"/>
  <c r="AL172" i="8"/>
  <c r="AL173" i="8"/>
  <c r="AL174" i="8"/>
  <c r="AL175" i="8"/>
  <c r="AL176" i="8"/>
  <c r="AL177" i="8"/>
  <c r="AL178" i="8"/>
  <c r="AL179" i="8"/>
  <c r="AL180" i="8"/>
  <c r="AL181" i="8"/>
  <c r="AL182" i="8"/>
  <c r="AL183" i="8"/>
  <c r="AL184" i="8"/>
  <c r="AL185" i="8"/>
  <c r="AL186" i="8"/>
  <c r="AL187" i="8"/>
  <c r="AL188" i="8"/>
  <c r="AL189" i="8"/>
  <c r="AL190" i="8"/>
  <c r="AL191" i="8"/>
  <c r="AL192" i="8"/>
  <c r="AL193" i="8"/>
  <c r="AL194" i="8"/>
  <c r="AL195" i="8"/>
  <c r="AL196" i="8"/>
  <c r="AL197" i="8"/>
  <c r="AL198" i="8"/>
  <c r="AL199" i="8"/>
  <c r="AL200" i="8"/>
  <c r="AL201" i="8"/>
  <c r="AL202" i="8"/>
  <c r="AL203" i="8"/>
  <c r="AL204" i="8"/>
  <c r="AL205" i="8"/>
  <c r="AL206" i="8"/>
  <c r="AL207" i="8"/>
  <c r="AL208" i="8"/>
  <c r="AL209" i="8"/>
  <c r="AL210" i="8"/>
  <c r="AL211" i="8"/>
  <c r="AL212" i="8"/>
  <c r="AL213" i="8"/>
  <c r="AL214" i="8"/>
  <c r="AL215" i="8"/>
  <c r="AL216" i="8"/>
  <c r="AL217" i="8"/>
  <c r="AL218" i="8"/>
  <c r="AL219" i="8"/>
  <c r="AL220" i="8"/>
  <c r="AL221" i="8"/>
  <c r="AL222" i="8"/>
  <c r="AL223" i="8"/>
  <c r="AL224" i="8"/>
  <c r="AL225" i="8"/>
  <c r="AL226" i="8"/>
  <c r="AL227" i="8"/>
  <c r="AL228" i="8"/>
  <c r="AL229" i="8"/>
  <c r="AL230" i="8"/>
  <c r="AL231" i="8"/>
  <c r="AL232" i="8"/>
  <c r="AL233" i="8"/>
  <c r="AL234" i="8"/>
  <c r="AL235" i="8"/>
  <c r="AL236" i="8"/>
  <c r="AL237" i="8"/>
  <c r="AL238" i="8"/>
  <c r="AL239" i="8"/>
  <c r="AL240" i="8"/>
  <c r="AL241" i="8"/>
  <c r="AL242" i="8"/>
  <c r="AL243" i="8"/>
  <c r="AL244" i="8"/>
  <c r="AL245" i="8"/>
  <c r="AL246" i="8"/>
  <c r="AL247" i="8"/>
  <c r="AL248" i="8"/>
  <c r="AL249" i="8"/>
  <c r="AL250" i="8"/>
  <c r="AL251" i="8"/>
  <c r="AL252" i="8"/>
  <c r="AL253" i="8"/>
  <c r="AL254" i="8"/>
  <c r="AL255" i="8"/>
  <c r="AL256" i="8"/>
  <c r="AL257" i="8"/>
  <c r="AL258" i="8"/>
  <c r="AL259" i="8"/>
  <c r="AL260" i="8"/>
  <c r="AL261" i="8"/>
  <c r="AL262" i="8"/>
  <c r="AL263" i="8"/>
  <c r="AL264" i="8"/>
  <c r="AL265" i="8"/>
  <c r="AL266" i="8"/>
  <c r="AL267" i="8"/>
  <c r="AL268" i="8"/>
  <c r="AL269" i="8"/>
  <c r="AL270" i="8"/>
  <c r="AL271" i="8"/>
  <c r="AL272" i="8"/>
  <c r="AL273" i="8"/>
  <c r="AL274" i="8"/>
  <c r="AL275" i="8"/>
  <c r="AL276" i="8"/>
  <c r="AL277" i="8"/>
  <c r="AL278" i="8"/>
  <c r="AL279" i="8"/>
  <c r="AL280" i="8"/>
  <c r="AL281" i="8"/>
  <c r="AL282" i="8"/>
  <c r="AL283" i="8"/>
  <c r="AL284" i="8"/>
  <c r="AL285" i="8"/>
  <c r="AL286" i="8"/>
  <c r="AL287" i="8"/>
  <c r="AL288" i="8"/>
  <c r="AL289" i="8"/>
  <c r="AL290" i="8"/>
  <c r="AL291" i="8"/>
  <c r="AL292" i="8"/>
  <c r="AL293" i="8"/>
  <c r="AL294" i="8"/>
  <c r="AL295" i="8"/>
  <c r="AL296" i="8"/>
  <c r="AL297" i="8"/>
  <c r="AL298" i="8"/>
  <c r="AL299" i="8"/>
  <c r="AL300" i="8"/>
  <c r="AL301" i="8"/>
  <c r="AL302" i="8"/>
  <c r="AL303" i="8"/>
  <c r="AL304" i="8"/>
  <c r="AL305" i="8"/>
  <c r="AL306" i="8"/>
  <c r="AL307" i="8"/>
  <c r="AL308" i="8"/>
  <c r="AL309" i="8"/>
  <c r="AL310" i="8"/>
  <c r="AL311" i="8"/>
  <c r="AL312" i="8"/>
  <c r="AL313" i="8"/>
  <c r="AL314" i="8"/>
  <c r="AL315" i="8"/>
  <c r="AL316" i="8"/>
  <c r="AL317" i="8"/>
  <c r="AL318" i="8"/>
  <c r="AL319" i="8"/>
  <c r="AL320" i="8"/>
  <c r="AL321" i="8"/>
  <c r="AL322" i="8"/>
  <c r="AL323" i="8"/>
  <c r="AL324" i="8"/>
  <c r="AL325" i="8"/>
  <c r="AL326" i="8"/>
  <c r="AL327" i="8"/>
  <c r="AL328" i="8"/>
  <c r="AL329" i="8"/>
  <c r="AL330" i="8"/>
  <c r="AL331" i="8"/>
  <c r="AL332" i="8"/>
  <c r="AL333" i="8"/>
  <c r="AL334" i="8"/>
  <c r="AL335" i="8"/>
  <c r="AL336" i="8"/>
  <c r="AL337" i="8"/>
  <c r="AL338" i="8"/>
  <c r="AL339" i="8"/>
  <c r="AL340" i="8"/>
  <c r="AL341" i="8"/>
  <c r="AL342" i="8"/>
  <c r="AL343" i="8"/>
  <c r="AL344" i="8"/>
  <c r="AL345" i="8"/>
  <c r="AL346" i="8"/>
  <c r="AL347" i="8"/>
  <c r="AL348" i="8"/>
  <c r="AL349" i="8"/>
  <c r="AL350" i="8"/>
  <c r="AL351" i="8"/>
  <c r="AL352" i="8"/>
  <c r="AL353" i="8"/>
  <c r="AL354" i="8"/>
  <c r="AL355" i="8"/>
  <c r="AL356" i="8"/>
  <c r="AL357" i="8"/>
  <c r="AL358" i="8"/>
  <c r="AL359" i="8"/>
  <c r="AL360" i="8"/>
  <c r="AL361" i="8"/>
  <c r="AL362" i="8"/>
  <c r="AL363" i="8"/>
  <c r="AL364" i="8"/>
  <c r="AL365" i="8"/>
  <c r="AL366" i="8"/>
  <c r="AL367" i="8"/>
  <c r="AL368" i="8"/>
  <c r="AL369" i="8"/>
  <c r="AL370" i="8"/>
  <c r="AL371" i="8"/>
  <c r="AL372" i="8"/>
  <c r="AL373" i="8"/>
  <c r="AL374" i="8"/>
  <c r="AL375" i="8"/>
  <c r="AL376" i="8"/>
  <c r="AL377" i="8"/>
  <c r="AL378" i="8"/>
  <c r="AL379" i="8"/>
  <c r="AL380"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M60" i="8"/>
  <c r="AM61" i="8"/>
  <c r="AM62" i="8"/>
  <c r="AM63" i="8"/>
  <c r="AM64" i="8"/>
  <c r="AM65" i="8"/>
  <c r="AM66" i="8"/>
  <c r="AM67" i="8"/>
  <c r="AM68" i="8"/>
  <c r="AM69" i="8"/>
  <c r="AM70" i="8"/>
  <c r="AM71" i="8"/>
  <c r="AM72" i="8"/>
  <c r="AM73" i="8"/>
  <c r="AM74" i="8"/>
  <c r="AM75" i="8"/>
  <c r="AM76" i="8"/>
  <c r="AM77" i="8"/>
  <c r="AM78" i="8"/>
  <c r="AM79" i="8"/>
  <c r="AM80" i="8"/>
  <c r="AM81" i="8"/>
  <c r="AM82" i="8"/>
  <c r="AM83" i="8"/>
  <c r="AM84" i="8"/>
  <c r="AM85" i="8"/>
  <c r="AM86" i="8"/>
  <c r="AM87" i="8"/>
  <c r="AM88" i="8"/>
  <c r="AM89" i="8"/>
  <c r="AM90" i="8"/>
  <c r="AM91" i="8"/>
  <c r="AM92" i="8"/>
  <c r="AM93" i="8"/>
  <c r="AM94" i="8"/>
  <c r="AM95" i="8"/>
  <c r="AM96" i="8"/>
  <c r="AM97" i="8"/>
  <c r="AM98" i="8"/>
  <c r="AM99" i="8"/>
  <c r="AM100" i="8"/>
  <c r="AM101" i="8"/>
  <c r="AM102" i="8"/>
  <c r="AM103" i="8"/>
  <c r="AM104" i="8"/>
  <c r="AM105" i="8"/>
  <c r="AM106" i="8"/>
  <c r="AM107" i="8"/>
  <c r="AM108" i="8"/>
  <c r="AM109" i="8"/>
  <c r="AM110" i="8"/>
  <c r="AM111" i="8"/>
  <c r="AM112" i="8"/>
  <c r="AM113" i="8"/>
  <c r="AM114" i="8"/>
  <c r="AM115" i="8"/>
  <c r="AM116" i="8"/>
  <c r="AM117" i="8"/>
  <c r="AM118" i="8"/>
  <c r="AM119" i="8"/>
  <c r="AM120" i="8"/>
  <c r="AM121" i="8"/>
  <c r="AM122" i="8"/>
  <c r="AM123" i="8"/>
  <c r="AM124" i="8"/>
  <c r="AM125" i="8"/>
  <c r="AM126" i="8"/>
  <c r="AM127" i="8"/>
  <c r="AM128" i="8"/>
  <c r="AM129" i="8"/>
  <c r="AM130" i="8"/>
  <c r="AM131" i="8"/>
  <c r="AM132" i="8"/>
  <c r="AM133" i="8"/>
  <c r="AM134" i="8"/>
  <c r="AM135" i="8"/>
  <c r="AM136" i="8"/>
  <c r="AM137" i="8"/>
  <c r="AM138" i="8"/>
  <c r="AM139" i="8"/>
  <c r="AM140" i="8"/>
  <c r="AM141" i="8"/>
  <c r="AM142" i="8"/>
  <c r="AM143" i="8"/>
  <c r="AM144" i="8"/>
  <c r="AM145" i="8"/>
  <c r="AM146" i="8"/>
  <c r="AM147" i="8"/>
  <c r="AM148" i="8"/>
  <c r="AM149" i="8"/>
  <c r="AM150" i="8"/>
  <c r="AM151" i="8"/>
  <c r="AM152" i="8"/>
  <c r="AM153" i="8"/>
  <c r="AM154" i="8"/>
  <c r="AM155" i="8"/>
  <c r="AM156" i="8"/>
  <c r="AM157" i="8"/>
  <c r="AM158" i="8"/>
  <c r="AM159" i="8"/>
  <c r="AM160" i="8"/>
  <c r="AM161" i="8"/>
  <c r="AM162" i="8"/>
  <c r="AM163" i="8"/>
  <c r="AM164" i="8"/>
  <c r="AM165" i="8"/>
  <c r="AM166" i="8"/>
  <c r="AM167" i="8"/>
  <c r="AM168" i="8"/>
  <c r="AM169" i="8"/>
  <c r="AM170" i="8"/>
  <c r="AM171" i="8"/>
  <c r="AM172" i="8"/>
  <c r="AM173" i="8"/>
  <c r="AM174" i="8"/>
  <c r="AM175" i="8"/>
  <c r="AM176" i="8"/>
  <c r="AM177" i="8"/>
  <c r="AM178" i="8"/>
  <c r="AM179" i="8"/>
  <c r="AM180" i="8"/>
  <c r="AM181" i="8"/>
  <c r="AM182" i="8"/>
  <c r="AM183" i="8"/>
  <c r="AM184" i="8"/>
  <c r="AM185" i="8"/>
  <c r="AM186" i="8"/>
  <c r="AM187" i="8"/>
  <c r="AM188" i="8"/>
  <c r="AM189" i="8"/>
  <c r="AM190" i="8"/>
  <c r="AM191" i="8"/>
  <c r="AM192" i="8"/>
  <c r="AM193" i="8"/>
  <c r="AM194" i="8"/>
  <c r="AM195" i="8"/>
  <c r="AM196" i="8"/>
  <c r="AM197" i="8"/>
  <c r="AM198" i="8"/>
  <c r="AM199" i="8"/>
  <c r="AM200" i="8"/>
  <c r="AM201" i="8"/>
  <c r="AM202" i="8"/>
  <c r="AM203" i="8"/>
  <c r="AM204" i="8"/>
  <c r="AM205" i="8"/>
  <c r="AM206" i="8"/>
  <c r="AM207" i="8"/>
  <c r="AM208" i="8"/>
  <c r="AM209" i="8"/>
  <c r="AM210" i="8"/>
  <c r="AM211" i="8"/>
  <c r="AM212" i="8"/>
  <c r="AM213" i="8"/>
  <c r="AM214" i="8"/>
  <c r="AM215" i="8"/>
  <c r="AM216" i="8"/>
  <c r="AM217" i="8"/>
  <c r="AM218" i="8"/>
  <c r="AM219" i="8"/>
  <c r="AM220" i="8"/>
  <c r="AM221" i="8"/>
  <c r="AM222" i="8"/>
  <c r="AM223" i="8"/>
  <c r="AM224" i="8"/>
  <c r="AM225" i="8"/>
  <c r="AM226" i="8"/>
  <c r="AM227" i="8"/>
  <c r="AM228" i="8"/>
  <c r="AM229" i="8"/>
  <c r="AM230" i="8"/>
  <c r="AM231" i="8"/>
  <c r="AM232" i="8"/>
  <c r="AM233" i="8"/>
  <c r="AM234" i="8"/>
  <c r="AM235" i="8"/>
  <c r="AM236" i="8"/>
  <c r="AM237" i="8"/>
  <c r="AM238" i="8"/>
  <c r="AM239" i="8"/>
  <c r="AM240" i="8"/>
  <c r="AM241" i="8"/>
  <c r="AM242" i="8"/>
  <c r="AM243" i="8"/>
  <c r="AM244" i="8"/>
  <c r="AM245" i="8"/>
  <c r="AM246" i="8"/>
  <c r="AM247" i="8"/>
  <c r="AM248" i="8"/>
  <c r="AM249" i="8"/>
  <c r="AM250" i="8"/>
  <c r="AM251" i="8"/>
  <c r="AM252" i="8"/>
  <c r="AM253" i="8"/>
  <c r="AM254" i="8"/>
  <c r="AM255" i="8"/>
  <c r="AM256" i="8"/>
  <c r="AM257" i="8"/>
  <c r="AM258" i="8"/>
  <c r="AM259" i="8"/>
  <c r="AM260" i="8"/>
  <c r="AM261" i="8"/>
  <c r="AM262" i="8"/>
  <c r="AM263" i="8"/>
  <c r="AM264" i="8"/>
  <c r="AM265" i="8"/>
  <c r="AM266" i="8"/>
  <c r="AM267" i="8"/>
  <c r="AM268" i="8"/>
  <c r="AM269" i="8"/>
  <c r="AM270" i="8"/>
  <c r="AM271" i="8"/>
  <c r="AM272" i="8"/>
  <c r="AM273" i="8"/>
  <c r="AM274" i="8"/>
  <c r="AM275" i="8"/>
  <c r="AM276" i="8"/>
  <c r="AM277" i="8"/>
  <c r="AM278" i="8"/>
  <c r="AM279" i="8"/>
  <c r="AM280" i="8"/>
  <c r="AM281" i="8"/>
  <c r="AM282" i="8"/>
  <c r="AM283" i="8"/>
  <c r="AM284" i="8"/>
  <c r="AM285" i="8"/>
  <c r="AM286" i="8"/>
  <c r="AM287" i="8"/>
  <c r="AM288" i="8"/>
  <c r="AM289" i="8"/>
  <c r="AM290" i="8"/>
  <c r="AM291" i="8"/>
  <c r="AM292" i="8"/>
  <c r="AM293" i="8"/>
  <c r="AM294" i="8"/>
  <c r="AM295" i="8"/>
  <c r="AM296" i="8"/>
  <c r="AM297" i="8"/>
  <c r="AM298" i="8"/>
  <c r="AM299" i="8"/>
  <c r="AM300" i="8"/>
  <c r="AM301" i="8"/>
  <c r="AM302" i="8"/>
  <c r="AM303" i="8"/>
  <c r="AM304" i="8"/>
  <c r="AM305" i="8"/>
  <c r="AM306" i="8"/>
  <c r="AM307" i="8"/>
  <c r="AM308" i="8"/>
  <c r="AM309" i="8"/>
  <c r="AM310" i="8"/>
  <c r="AM311" i="8"/>
  <c r="AM312" i="8"/>
  <c r="AM313" i="8"/>
  <c r="AM314" i="8"/>
  <c r="AM315" i="8"/>
  <c r="AM316" i="8"/>
  <c r="AM317" i="8"/>
  <c r="AM318" i="8"/>
  <c r="AM319" i="8"/>
  <c r="AM320" i="8"/>
  <c r="AM321" i="8"/>
  <c r="AM322" i="8"/>
  <c r="AM323" i="8"/>
  <c r="AM324" i="8"/>
  <c r="AM325" i="8"/>
  <c r="AM326" i="8"/>
  <c r="AM327" i="8"/>
  <c r="AM328" i="8"/>
  <c r="AM329" i="8"/>
  <c r="AM330" i="8"/>
  <c r="AM331" i="8"/>
  <c r="AM332" i="8"/>
  <c r="AM333" i="8"/>
  <c r="AM334" i="8"/>
  <c r="AM335" i="8"/>
  <c r="AM336" i="8"/>
  <c r="AM337" i="8"/>
  <c r="AM338" i="8"/>
  <c r="AM339" i="8"/>
  <c r="AM340" i="8"/>
  <c r="AM341" i="8"/>
  <c r="AM342" i="8"/>
  <c r="AM343" i="8"/>
  <c r="AM344" i="8"/>
  <c r="AM345" i="8"/>
  <c r="AM346" i="8"/>
  <c r="AM347" i="8"/>
  <c r="AM348" i="8"/>
  <c r="AM349" i="8"/>
  <c r="AM350" i="8"/>
  <c r="AM351" i="8"/>
  <c r="AM352" i="8"/>
  <c r="AM353" i="8"/>
  <c r="AM354" i="8"/>
  <c r="AM355" i="8"/>
  <c r="AM356" i="8"/>
  <c r="AM357" i="8"/>
  <c r="AM358" i="8"/>
  <c r="AM359" i="8"/>
  <c r="AM360" i="8"/>
  <c r="AM361" i="8"/>
  <c r="AM362" i="8"/>
  <c r="AM363" i="8"/>
  <c r="AM364" i="8"/>
  <c r="AM365" i="8"/>
  <c r="AM366" i="8"/>
  <c r="AM367" i="8"/>
  <c r="AM368" i="8"/>
  <c r="AM369" i="8"/>
  <c r="AM370" i="8"/>
  <c r="AM371" i="8"/>
  <c r="AM372" i="8"/>
  <c r="AM373" i="8"/>
  <c r="AM374" i="8"/>
  <c r="AM375" i="8"/>
  <c r="AM376" i="8"/>
  <c r="AM377" i="8"/>
  <c r="AM378" i="8"/>
  <c r="AM379" i="8"/>
  <c r="AM380" i="8"/>
  <c r="AN15" i="8"/>
  <c r="AN16" i="8"/>
  <c r="AN17" i="8"/>
  <c r="AN18" i="8"/>
  <c r="AN19" i="8"/>
  <c r="AN20" i="8"/>
  <c r="AN21" i="8"/>
  <c r="AN22" i="8"/>
  <c r="AN23" i="8"/>
  <c r="AN24" i="8"/>
  <c r="AN25" i="8"/>
  <c r="AN26" i="8"/>
  <c r="AN27" i="8"/>
  <c r="AN28" i="8"/>
  <c r="AN29" i="8"/>
  <c r="AN30" i="8"/>
  <c r="AN31" i="8"/>
  <c r="AN32" i="8"/>
  <c r="AN33" i="8"/>
  <c r="AN34" i="8"/>
  <c r="AN35" i="8"/>
  <c r="AN36" i="8"/>
  <c r="AN37" i="8"/>
  <c r="AN38" i="8"/>
  <c r="AN39" i="8"/>
  <c r="AN40" i="8"/>
  <c r="AN41" i="8"/>
  <c r="AN42" i="8"/>
  <c r="AN43" i="8"/>
  <c r="AN44" i="8"/>
  <c r="AN45" i="8"/>
  <c r="AN46" i="8"/>
  <c r="AN47" i="8"/>
  <c r="AN48" i="8"/>
  <c r="AN49" i="8"/>
  <c r="AN50" i="8"/>
  <c r="AN51" i="8"/>
  <c r="AN52" i="8"/>
  <c r="AN53" i="8"/>
  <c r="AN54" i="8"/>
  <c r="AN55" i="8"/>
  <c r="AN56" i="8"/>
  <c r="AN57" i="8"/>
  <c r="AN58" i="8"/>
  <c r="AN59" i="8"/>
  <c r="AN60" i="8"/>
  <c r="AN61" i="8"/>
  <c r="AN62" i="8"/>
  <c r="AN63" i="8"/>
  <c r="AN64" i="8"/>
  <c r="AN65" i="8"/>
  <c r="AN66" i="8"/>
  <c r="AN67" i="8"/>
  <c r="AN68" i="8"/>
  <c r="AN69" i="8"/>
  <c r="AN70" i="8"/>
  <c r="AN71" i="8"/>
  <c r="AN72" i="8"/>
  <c r="AN73" i="8"/>
  <c r="AN74" i="8"/>
  <c r="AN75" i="8"/>
  <c r="AN76" i="8"/>
  <c r="AN77" i="8"/>
  <c r="AN78" i="8"/>
  <c r="AN79" i="8"/>
  <c r="AN80" i="8"/>
  <c r="AN81" i="8"/>
  <c r="AN82" i="8"/>
  <c r="AN83" i="8"/>
  <c r="AN84" i="8"/>
  <c r="AN85" i="8"/>
  <c r="AN86" i="8"/>
  <c r="AN87" i="8"/>
  <c r="AN88" i="8"/>
  <c r="AN89" i="8"/>
  <c r="AN90" i="8"/>
  <c r="AN91" i="8"/>
  <c r="AN92" i="8"/>
  <c r="AN93" i="8"/>
  <c r="AN94" i="8"/>
  <c r="AN95" i="8"/>
  <c r="AN96" i="8"/>
  <c r="AN97" i="8"/>
  <c r="AN98" i="8"/>
  <c r="AN99" i="8"/>
  <c r="AN100" i="8"/>
  <c r="AN101" i="8"/>
  <c r="AN102" i="8"/>
  <c r="AN103" i="8"/>
  <c r="AN104" i="8"/>
  <c r="AN105" i="8"/>
  <c r="AN106" i="8"/>
  <c r="AN107" i="8"/>
  <c r="AN108" i="8"/>
  <c r="AN109" i="8"/>
  <c r="AN110" i="8"/>
  <c r="AN111" i="8"/>
  <c r="AN112" i="8"/>
  <c r="AN113" i="8"/>
  <c r="AN114" i="8"/>
  <c r="AN115" i="8"/>
  <c r="AN116" i="8"/>
  <c r="AN117" i="8"/>
  <c r="AN118" i="8"/>
  <c r="AN119" i="8"/>
  <c r="AN120" i="8"/>
  <c r="AN121" i="8"/>
  <c r="AN122" i="8"/>
  <c r="AN123" i="8"/>
  <c r="AN124" i="8"/>
  <c r="AN125" i="8"/>
  <c r="AN126" i="8"/>
  <c r="AN127" i="8"/>
  <c r="AN128" i="8"/>
  <c r="AN129" i="8"/>
  <c r="AN130" i="8"/>
  <c r="AN131" i="8"/>
  <c r="AN132" i="8"/>
  <c r="AN133" i="8"/>
  <c r="AN134" i="8"/>
  <c r="AN135" i="8"/>
  <c r="AN136" i="8"/>
  <c r="AN137" i="8"/>
  <c r="AN138" i="8"/>
  <c r="AN139" i="8"/>
  <c r="AN140" i="8"/>
  <c r="AN141" i="8"/>
  <c r="AN142" i="8"/>
  <c r="AN143" i="8"/>
  <c r="AN144" i="8"/>
  <c r="AN145" i="8"/>
  <c r="AN146" i="8"/>
  <c r="AN147" i="8"/>
  <c r="AN148" i="8"/>
  <c r="AN149" i="8"/>
  <c r="AN150" i="8"/>
  <c r="AN151" i="8"/>
  <c r="AN152" i="8"/>
  <c r="AN153" i="8"/>
  <c r="AN154" i="8"/>
  <c r="AN155" i="8"/>
  <c r="AN156" i="8"/>
  <c r="AN157" i="8"/>
  <c r="AN158" i="8"/>
  <c r="AN159" i="8"/>
  <c r="AN160" i="8"/>
  <c r="AN161" i="8"/>
  <c r="AN162" i="8"/>
  <c r="AN163" i="8"/>
  <c r="AN164" i="8"/>
  <c r="AN165" i="8"/>
  <c r="AN166" i="8"/>
  <c r="AN167" i="8"/>
  <c r="AN168" i="8"/>
  <c r="AN169" i="8"/>
  <c r="AN170" i="8"/>
  <c r="AN171" i="8"/>
  <c r="AN172" i="8"/>
  <c r="AN173" i="8"/>
  <c r="AN174" i="8"/>
  <c r="AN175" i="8"/>
  <c r="AN176" i="8"/>
  <c r="AN177" i="8"/>
  <c r="AN178" i="8"/>
  <c r="AN179" i="8"/>
  <c r="AN180" i="8"/>
  <c r="AN181" i="8"/>
  <c r="AN182" i="8"/>
  <c r="AN183" i="8"/>
  <c r="AN184" i="8"/>
  <c r="AN185" i="8"/>
  <c r="AN186" i="8"/>
  <c r="AN187" i="8"/>
  <c r="AN188" i="8"/>
  <c r="AN189" i="8"/>
  <c r="AN190" i="8"/>
  <c r="AN191" i="8"/>
  <c r="AN192" i="8"/>
  <c r="AN193" i="8"/>
  <c r="AN194" i="8"/>
  <c r="AN195" i="8"/>
  <c r="AN196" i="8"/>
  <c r="AN197" i="8"/>
  <c r="AN198" i="8"/>
  <c r="AN199" i="8"/>
  <c r="AN200" i="8"/>
  <c r="AN201" i="8"/>
  <c r="AN202" i="8"/>
  <c r="AN203" i="8"/>
  <c r="AN204" i="8"/>
  <c r="AN205" i="8"/>
  <c r="AN206" i="8"/>
  <c r="AN207" i="8"/>
  <c r="AN208" i="8"/>
  <c r="AN209" i="8"/>
  <c r="AN210" i="8"/>
  <c r="AN211" i="8"/>
  <c r="AN212" i="8"/>
  <c r="AN213" i="8"/>
  <c r="AN214" i="8"/>
  <c r="AN215" i="8"/>
  <c r="AN216" i="8"/>
  <c r="AN217" i="8"/>
  <c r="AN218" i="8"/>
  <c r="AN219" i="8"/>
  <c r="AN220" i="8"/>
  <c r="AN221" i="8"/>
  <c r="AN222" i="8"/>
  <c r="AN223" i="8"/>
  <c r="AN224" i="8"/>
  <c r="AN225" i="8"/>
  <c r="AN226" i="8"/>
  <c r="AN227" i="8"/>
  <c r="AN228" i="8"/>
  <c r="AN229" i="8"/>
  <c r="AN230" i="8"/>
  <c r="AN231" i="8"/>
  <c r="AN232" i="8"/>
  <c r="AN233" i="8"/>
  <c r="AN234" i="8"/>
  <c r="AN235" i="8"/>
  <c r="AN236" i="8"/>
  <c r="AN237" i="8"/>
  <c r="AN238" i="8"/>
  <c r="AN239" i="8"/>
  <c r="AN240" i="8"/>
  <c r="AN241" i="8"/>
  <c r="AN242" i="8"/>
  <c r="AN243" i="8"/>
  <c r="AN244" i="8"/>
  <c r="AN245" i="8"/>
  <c r="AN246" i="8"/>
  <c r="AN247" i="8"/>
  <c r="AN248" i="8"/>
  <c r="AN249" i="8"/>
  <c r="AN250" i="8"/>
  <c r="AN251" i="8"/>
  <c r="AN252" i="8"/>
  <c r="AN253" i="8"/>
  <c r="AN254" i="8"/>
  <c r="AN255" i="8"/>
  <c r="AN256" i="8"/>
  <c r="AN257" i="8"/>
  <c r="AN258" i="8"/>
  <c r="AN259" i="8"/>
  <c r="AN260" i="8"/>
  <c r="AN261" i="8"/>
  <c r="AN262" i="8"/>
  <c r="AN263" i="8"/>
  <c r="AN264" i="8"/>
  <c r="AN265" i="8"/>
  <c r="AN266" i="8"/>
  <c r="AN267" i="8"/>
  <c r="AN268" i="8"/>
  <c r="AN269" i="8"/>
  <c r="AN270" i="8"/>
  <c r="AN271" i="8"/>
  <c r="AN272" i="8"/>
  <c r="AN273" i="8"/>
  <c r="AN274" i="8"/>
  <c r="AN275" i="8"/>
  <c r="AN276" i="8"/>
  <c r="AN277" i="8"/>
  <c r="AN278" i="8"/>
  <c r="AN279" i="8"/>
  <c r="AN280" i="8"/>
  <c r="AN281" i="8"/>
  <c r="AN282" i="8"/>
  <c r="AN283" i="8"/>
  <c r="AN284" i="8"/>
  <c r="AN285" i="8"/>
  <c r="AN286" i="8"/>
  <c r="AN287" i="8"/>
  <c r="AN288" i="8"/>
  <c r="AN289" i="8"/>
  <c r="AN290" i="8"/>
  <c r="AN291" i="8"/>
  <c r="AN292" i="8"/>
  <c r="AN293" i="8"/>
  <c r="AN294" i="8"/>
  <c r="AN295" i="8"/>
  <c r="AN296" i="8"/>
  <c r="AN297" i="8"/>
  <c r="AN298" i="8"/>
  <c r="AN299" i="8"/>
  <c r="AN300" i="8"/>
  <c r="AN301" i="8"/>
  <c r="AN302" i="8"/>
  <c r="AN303" i="8"/>
  <c r="AN304" i="8"/>
  <c r="AN305" i="8"/>
  <c r="AN306" i="8"/>
  <c r="AN307" i="8"/>
  <c r="AN308" i="8"/>
  <c r="AN309" i="8"/>
  <c r="AN310" i="8"/>
  <c r="AN311" i="8"/>
  <c r="AN312" i="8"/>
  <c r="AN313" i="8"/>
  <c r="AN314" i="8"/>
  <c r="AN315" i="8"/>
  <c r="AN316" i="8"/>
  <c r="AN317" i="8"/>
  <c r="AN318" i="8"/>
  <c r="AN319" i="8"/>
  <c r="AN320" i="8"/>
  <c r="AN321" i="8"/>
  <c r="AN322" i="8"/>
  <c r="AN323" i="8"/>
  <c r="AN324" i="8"/>
  <c r="AN325" i="8"/>
  <c r="AN326" i="8"/>
  <c r="AN327" i="8"/>
  <c r="AN328" i="8"/>
  <c r="AN329" i="8"/>
  <c r="AN330" i="8"/>
  <c r="AN331" i="8"/>
  <c r="AN332" i="8"/>
  <c r="AN333" i="8"/>
  <c r="AN334" i="8"/>
  <c r="AN335" i="8"/>
  <c r="AN336" i="8"/>
  <c r="AN337" i="8"/>
  <c r="AN338" i="8"/>
  <c r="AN339" i="8"/>
  <c r="AN340" i="8"/>
  <c r="AN341" i="8"/>
  <c r="AN342" i="8"/>
  <c r="AN343" i="8"/>
  <c r="AN344" i="8"/>
  <c r="AN345" i="8"/>
  <c r="AN346" i="8"/>
  <c r="AN347" i="8"/>
  <c r="AN348" i="8"/>
  <c r="AN349" i="8"/>
  <c r="AN350" i="8"/>
  <c r="AN351" i="8"/>
  <c r="AN352" i="8"/>
  <c r="AN353" i="8"/>
  <c r="AN354" i="8"/>
  <c r="AN355" i="8"/>
  <c r="AN356" i="8"/>
  <c r="AN357" i="8"/>
  <c r="AN358" i="8"/>
  <c r="AN359" i="8"/>
  <c r="AN360" i="8"/>
  <c r="AN361" i="8"/>
  <c r="AN362" i="8"/>
  <c r="AN363" i="8"/>
  <c r="AN364" i="8"/>
  <c r="AN365" i="8"/>
  <c r="AN366" i="8"/>
  <c r="AN367" i="8"/>
  <c r="AN368" i="8"/>
  <c r="AN369" i="8"/>
  <c r="AN370" i="8"/>
  <c r="AN371" i="8"/>
  <c r="AN372" i="8"/>
  <c r="AN373" i="8"/>
  <c r="AN374" i="8"/>
  <c r="AN375" i="8"/>
  <c r="AN376" i="8"/>
  <c r="AN377" i="8"/>
  <c r="AN378" i="8"/>
  <c r="AN379" i="8"/>
  <c r="AN380"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O60" i="8"/>
  <c r="AO61" i="8"/>
  <c r="AO62" i="8"/>
  <c r="AO63" i="8"/>
  <c r="AO64" i="8"/>
  <c r="AO65" i="8"/>
  <c r="AO66" i="8"/>
  <c r="AO67" i="8"/>
  <c r="AO68" i="8"/>
  <c r="AO69" i="8"/>
  <c r="AO70" i="8"/>
  <c r="AO71" i="8"/>
  <c r="AO72" i="8"/>
  <c r="AO73" i="8"/>
  <c r="AO74" i="8"/>
  <c r="AO75" i="8"/>
  <c r="AO76" i="8"/>
  <c r="AO77" i="8"/>
  <c r="AO78" i="8"/>
  <c r="AO79" i="8"/>
  <c r="AO80" i="8"/>
  <c r="AO81" i="8"/>
  <c r="AO82" i="8"/>
  <c r="AO83" i="8"/>
  <c r="AO84" i="8"/>
  <c r="AO85" i="8"/>
  <c r="AO86" i="8"/>
  <c r="AO87" i="8"/>
  <c r="AO88" i="8"/>
  <c r="AO89" i="8"/>
  <c r="AO90" i="8"/>
  <c r="AO91" i="8"/>
  <c r="AO92" i="8"/>
  <c r="AO93" i="8"/>
  <c r="AO94" i="8"/>
  <c r="AO95" i="8"/>
  <c r="AO96" i="8"/>
  <c r="AO97" i="8"/>
  <c r="AO98" i="8"/>
  <c r="AO99" i="8"/>
  <c r="AO100" i="8"/>
  <c r="AO101" i="8"/>
  <c r="AO102" i="8"/>
  <c r="AO103" i="8"/>
  <c r="AO104" i="8"/>
  <c r="AO105" i="8"/>
  <c r="AO106" i="8"/>
  <c r="AO107" i="8"/>
  <c r="AO108" i="8"/>
  <c r="AO109" i="8"/>
  <c r="AO110" i="8"/>
  <c r="AO111" i="8"/>
  <c r="AO112" i="8"/>
  <c r="AO113" i="8"/>
  <c r="AO114" i="8"/>
  <c r="AO115" i="8"/>
  <c r="AO116" i="8"/>
  <c r="AO117" i="8"/>
  <c r="AO118" i="8"/>
  <c r="AO119" i="8"/>
  <c r="AO120" i="8"/>
  <c r="AO121" i="8"/>
  <c r="AO122" i="8"/>
  <c r="AO123" i="8"/>
  <c r="AO124" i="8"/>
  <c r="AO125" i="8"/>
  <c r="AO126" i="8"/>
  <c r="AO127" i="8"/>
  <c r="AO128" i="8"/>
  <c r="AO129" i="8"/>
  <c r="AO130" i="8"/>
  <c r="AO131" i="8"/>
  <c r="AO132" i="8"/>
  <c r="AO133" i="8"/>
  <c r="AO134" i="8"/>
  <c r="AO135" i="8"/>
  <c r="AO136" i="8"/>
  <c r="AO137" i="8"/>
  <c r="AO138" i="8"/>
  <c r="AO139" i="8"/>
  <c r="AO140" i="8"/>
  <c r="AO141" i="8"/>
  <c r="AO142" i="8"/>
  <c r="AO143" i="8"/>
  <c r="AO144" i="8"/>
  <c r="AO145" i="8"/>
  <c r="AO146" i="8"/>
  <c r="AO147" i="8"/>
  <c r="AO148" i="8"/>
  <c r="AO149" i="8"/>
  <c r="AO150" i="8"/>
  <c r="AO151" i="8"/>
  <c r="AO152" i="8"/>
  <c r="AO153" i="8"/>
  <c r="AO154" i="8"/>
  <c r="AO155" i="8"/>
  <c r="AO156" i="8"/>
  <c r="AO157" i="8"/>
  <c r="AO158" i="8"/>
  <c r="AO159" i="8"/>
  <c r="AO160" i="8"/>
  <c r="AO161" i="8"/>
  <c r="AO162" i="8"/>
  <c r="AO163" i="8"/>
  <c r="AO164" i="8"/>
  <c r="AO165" i="8"/>
  <c r="AO166" i="8"/>
  <c r="AO167" i="8"/>
  <c r="AO168" i="8"/>
  <c r="AO169" i="8"/>
  <c r="AO170" i="8"/>
  <c r="AO171" i="8"/>
  <c r="AO172" i="8"/>
  <c r="AO173" i="8"/>
  <c r="AO174" i="8"/>
  <c r="AO175" i="8"/>
  <c r="AO176" i="8"/>
  <c r="AO177" i="8"/>
  <c r="AO178" i="8"/>
  <c r="AO179" i="8"/>
  <c r="AO180" i="8"/>
  <c r="AO181" i="8"/>
  <c r="AO182" i="8"/>
  <c r="AO183" i="8"/>
  <c r="AO184" i="8"/>
  <c r="AO185" i="8"/>
  <c r="AO186" i="8"/>
  <c r="AO187" i="8"/>
  <c r="AO188" i="8"/>
  <c r="AO189" i="8"/>
  <c r="AO190" i="8"/>
  <c r="AO191" i="8"/>
  <c r="AO192" i="8"/>
  <c r="AO193" i="8"/>
  <c r="AO194" i="8"/>
  <c r="AO195" i="8"/>
  <c r="AO196" i="8"/>
  <c r="AO197" i="8"/>
  <c r="AO198" i="8"/>
  <c r="AO199" i="8"/>
  <c r="AO200" i="8"/>
  <c r="AO201" i="8"/>
  <c r="AO202" i="8"/>
  <c r="AO203" i="8"/>
  <c r="AO204" i="8"/>
  <c r="AO205" i="8"/>
  <c r="AO206" i="8"/>
  <c r="AO207" i="8"/>
  <c r="AO208" i="8"/>
  <c r="AO209" i="8"/>
  <c r="AO210" i="8"/>
  <c r="AO211" i="8"/>
  <c r="AO212" i="8"/>
  <c r="AO213" i="8"/>
  <c r="AO214" i="8"/>
  <c r="AO215" i="8"/>
  <c r="AO216" i="8"/>
  <c r="AO217" i="8"/>
  <c r="AO218" i="8"/>
  <c r="AO219" i="8"/>
  <c r="AO220" i="8"/>
  <c r="AO221" i="8"/>
  <c r="AO222" i="8"/>
  <c r="AO223" i="8"/>
  <c r="AO224" i="8"/>
  <c r="AO225" i="8"/>
  <c r="AO226" i="8"/>
  <c r="AO227" i="8"/>
  <c r="AO228" i="8"/>
  <c r="AO229" i="8"/>
  <c r="AO230" i="8"/>
  <c r="AO231" i="8"/>
  <c r="AO232" i="8"/>
  <c r="AO233" i="8"/>
  <c r="AO234" i="8"/>
  <c r="AO235" i="8"/>
  <c r="AO236" i="8"/>
  <c r="AO237" i="8"/>
  <c r="AO238" i="8"/>
  <c r="AO239" i="8"/>
  <c r="AO240" i="8"/>
  <c r="AO241" i="8"/>
  <c r="AO242" i="8"/>
  <c r="AO243" i="8"/>
  <c r="AO244" i="8"/>
  <c r="AO245" i="8"/>
  <c r="AO246" i="8"/>
  <c r="AO247" i="8"/>
  <c r="AO248" i="8"/>
  <c r="AO249" i="8"/>
  <c r="AO250" i="8"/>
  <c r="AO251" i="8"/>
  <c r="AO252" i="8"/>
  <c r="AO253" i="8"/>
  <c r="AO254" i="8"/>
  <c r="AO255" i="8"/>
  <c r="AO256" i="8"/>
  <c r="AO257" i="8"/>
  <c r="AO258" i="8"/>
  <c r="AO259" i="8"/>
  <c r="AO260" i="8"/>
  <c r="AO261" i="8"/>
  <c r="AO262" i="8"/>
  <c r="AO263" i="8"/>
  <c r="AO264" i="8"/>
  <c r="AO265" i="8"/>
  <c r="AO266" i="8"/>
  <c r="AO267" i="8"/>
  <c r="AO268" i="8"/>
  <c r="AO269" i="8"/>
  <c r="AO270" i="8"/>
  <c r="AO271" i="8"/>
  <c r="AO272" i="8"/>
  <c r="AO273" i="8"/>
  <c r="AO274" i="8"/>
  <c r="AO275" i="8"/>
  <c r="AO276" i="8"/>
  <c r="AO277" i="8"/>
  <c r="AO278" i="8"/>
  <c r="AO279" i="8"/>
  <c r="AO280" i="8"/>
  <c r="AO281" i="8"/>
  <c r="AO282" i="8"/>
  <c r="AO283" i="8"/>
  <c r="AO284" i="8"/>
  <c r="AO285" i="8"/>
  <c r="AO286" i="8"/>
  <c r="AO287" i="8"/>
  <c r="AO288" i="8"/>
  <c r="AO289" i="8"/>
  <c r="AO290" i="8"/>
  <c r="AO291" i="8"/>
  <c r="AO292" i="8"/>
  <c r="AO293" i="8"/>
  <c r="AO294" i="8"/>
  <c r="AO295" i="8"/>
  <c r="AO296" i="8"/>
  <c r="AO297" i="8"/>
  <c r="AO298" i="8"/>
  <c r="AO299" i="8"/>
  <c r="AO300" i="8"/>
  <c r="AO301" i="8"/>
  <c r="AO302" i="8"/>
  <c r="AO303" i="8"/>
  <c r="AO304" i="8"/>
  <c r="AO305" i="8"/>
  <c r="AO306" i="8"/>
  <c r="AO307" i="8"/>
  <c r="AO308" i="8"/>
  <c r="AO309" i="8"/>
  <c r="AO310" i="8"/>
  <c r="AO311" i="8"/>
  <c r="AO312" i="8"/>
  <c r="AO313" i="8"/>
  <c r="AO314" i="8"/>
  <c r="AO315" i="8"/>
  <c r="AO316" i="8"/>
  <c r="AO317" i="8"/>
  <c r="AO318" i="8"/>
  <c r="AO319" i="8"/>
  <c r="AO320" i="8"/>
  <c r="AO321" i="8"/>
  <c r="AO322" i="8"/>
  <c r="AO323" i="8"/>
  <c r="AO324" i="8"/>
  <c r="AO325" i="8"/>
  <c r="AO326" i="8"/>
  <c r="AO327" i="8"/>
  <c r="AO328" i="8"/>
  <c r="AO329" i="8"/>
  <c r="AO330" i="8"/>
  <c r="AO331" i="8"/>
  <c r="AO332" i="8"/>
  <c r="AO333" i="8"/>
  <c r="AO334" i="8"/>
  <c r="AO335" i="8"/>
  <c r="AO336" i="8"/>
  <c r="AO337" i="8"/>
  <c r="AO338" i="8"/>
  <c r="AO339" i="8"/>
  <c r="AO340" i="8"/>
  <c r="AO341" i="8"/>
  <c r="AO342" i="8"/>
  <c r="AO343" i="8"/>
  <c r="AO344" i="8"/>
  <c r="AO345" i="8"/>
  <c r="AO346" i="8"/>
  <c r="AO347" i="8"/>
  <c r="AO348" i="8"/>
  <c r="AO349" i="8"/>
  <c r="AO350" i="8"/>
  <c r="AO351" i="8"/>
  <c r="AO352" i="8"/>
  <c r="AO353" i="8"/>
  <c r="AO354" i="8"/>
  <c r="AO355" i="8"/>
  <c r="AO356" i="8"/>
  <c r="AO357" i="8"/>
  <c r="AO358" i="8"/>
  <c r="AO359" i="8"/>
  <c r="AO360" i="8"/>
  <c r="AO361" i="8"/>
  <c r="AO362" i="8"/>
  <c r="AO363" i="8"/>
  <c r="AO364" i="8"/>
  <c r="AO365" i="8"/>
  <c r="AO366" i="8"/>
  <c r="AO367" i="8"/>
  <c r="AO368" i="8"/>
  <c r="AO369" i="8"/>
  <c r="AO370" i="8"/>
  <c r="AO371" i="8"/>
  <c r="AO372" i="8"/>
  <c r="AO373" i="8"/>
  <c r="AO374" i="8"/>
  <c r="AO375" i="8"/>
  <c r="AO376" i="8"/>
  <c r="AO377" i="8"/>
  <c r="AO378" i="8"/>
  <c r="AO379" i="8"/>
  <c r="AO380" i="8"/>
  <c r="AP15" i="8"/>
  <c r="AQ15" i="8" s="1"/>
  <c r="AP16" i="8"/>
  <c r="AP17" i="8"/>
  <c r="AP18" i="8"/>
  <c r="AP19" i="8"/>
  <c r="AP20" i="8"/>
  <c r="AP21" i="8"/>
  <c r="AP22" i="8"/>
  <c r="AP23" i="8"/>
  <c r="AP24" i="8"/>
  <c r="AP25" i="8"/>
  <c r="AQ25" i="8" s="1"/>
  <c r="AP26" i="8"/>
  <c r="AP27" i="8"/>
  <c r="AP28" i="8"/>
  <c r="AP29" i="8"/>
  <c r="AP30" i="8"/>
  <c r="AP31" i="8"/>
  <c r="AP32" i="8"/>
  <c r="AQ32" i="8" s="1"/>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P60" i="8"/>
  <c r="AP61" i="8"/>
  <c r="AP62" i="8"/>
  <c r="AP63" i="8"/>
  <c r="AP64" i="8"/>
  <c r="AP65" i="8"/>
  <c r="AP66" i="8"/>
  <c r="AP67" i="8"/>
  <c r="AP68" i="8"/>
  <c r="AP69" i="8"/>
  <c r="AP70" i="8"/>
  <c r="AP71" i="8"/>
  <c r="AP72" i="8"/>
  <c r="AP73" i="8"/>
  <c r="AP74" i="8"/>
  <c r="AP75" i="8"/>
  <c r="AP76" i="8"/>
  <c r="AP77" i="8"/>
  <c r="AP78" i="8"/>
  <c r="AP79" i="8"/>
  <c r="AP80" i="8"/>
  <c r="AP81" i="8"/>
  <c r="AP82" i="8"/>
  <c r="AP83" i="8"/>
  <c r="AP84" i="8"/>
  <c r="AQ84" i="8" s="1"/>
  <c r="AP85" i="8"/>
  <c r="AP86" i="8"/>
  <c r="AP87" i="8"/>
  <c r="AP88" i="8"/>
  <c r="AP89" i="8"/>
  <c r="AP90" i="8"/>
  <c r="AP91" i="8"/>
  <c r="AP92" i="8"/>
  <c r="AP93" i="8"/>
  <c r="AP94" i="8"/>
  <c r="AP95" i="8"/>
  <c r="AP96" i="8"/>
  <c r="AQ96" i="8" s="1"/>
  <c r="AP97" i="8"/>
  <c r="AQ97" i="8" s="1"/>
  <c r="AP98" i="8"/>
  <c r="AP99" i="8"/>
  <c r="AP100" i="8"/>
  <c r="AP101" i="8"/>
  <c r="AP102" i="8"/>
  <c r="AP103" i="8"/>
  <c r="AP104" i="8"/>
  <c r="AP105" i="8"/>
  <c r="AP106" i="8"/>
  <c r="AP107" i="8"/>
  <c r="AP108" i="8"/>
  <c r="AQ108" i="8" s="1"/>
  <c r="AP109" i="8"/>
  <c r="AP110" i="8"/>
  <c r="AP111" i="8"/>
  <c r="AP112" i="8"/>
  <c r="AP113" i="8"/>
  <c r="AP114" i="8"/>
  <c r="AP115" i="8"/>
  <c r="AP116" i="8"/>
  <c r="AP117" i="8"/>
  <c r="AP118" i="8"/>
  <c r="AP119" i="8"/>
  <c r="AP120" i="8"/>
  <c r="AP121" i="8"/>
  <c r="AP122" i="8"/>
  <c r="AP123" i="8"/>
  <c r="AQ123" i="8" s="1"/>
  <c r="AP124" i="8"/>
  <c r="AQ124" i="8" s="1"/>
  <c r="AP125" i="8"/>
  <c r="AP126" i="8"/>
  <c r="AQ126" i="8" s="1"/>
  <c r="AP127" i="8"/>
  <c r="AP128" i="8"/>
  <c r="AP129" i="8"/>
  <c r="AP130" i="8"/>
  <c r="AP131" i="8"/>
  <c r="AP132" i="8"/>
  <c r="AP133" i="8"/>
  <c r="AP134" i="8"/>
  <c r="AP135" i="8"/>
  <c r="AP136" i="8"/>
  <c r="AP137" i="8"/>
  <c r="AP138" i="8"/>
  <c r="AP139" i="8"/>
  <c r="AP140" i="8"/>
  <c r="AP141" i="8"/>
  <c r="AP142" i="8"/>
  <c r="AP143" i="8"/>
  <c r="AP144" i="8"/>
  <c r="AP145" i="8"/>
  <c r="AP146" i="8"/>
  <c r="AP147" i="8"/>
  <c r="AP148" i="8"/>
  <c r="AP149" i="8"/>
  <c r="AP150" i="8"/>
  <c r="AQ150" i="8" s="1"/>
  <c r="AP151" i="8"/>
  <c r="AP152" i="8"/>
  <c r="AP153" i="8"/>
  <c r="AP154" i="8"/>
  <c r="AQ154" i="8" s="1"/>
  <c r="AP155" i="8"/>
  <c r="AP156" i="8"/>
  <c r="AR156" i="8" s="1"/>
  <c r="AP157" i="8"/>
  <c r="AP158" i="8"/>
  <c r="AP159" i="8"/>
  <c r="AP160" i="8"/>
  <c r="AP161" i="8"/>
  <c r="AP162" i="8"/>
  <c r="AP163" i="8"/>
  <c r="AP164" i="8"/>
  <c r="AP165" i="8"/>
  <c r="AP166" i="8"/>
  <c r="AQ166" i="8" s="1"/>
  <c r="AP167" i="8"/>
  <c r="AP168" i="8"/>
  <c r="AP169" i="8"/>
  <c r="AP170" i="8"/>
  <c r="AP171" i="8"/>
  <c r="AP172" i="8"/>
  <c r="AP173" i="8"/>
  <c r="AP174" i="8"/>
  <c r="AQ174" i="8" s="1"/>
  <c r="AP175" i="8"/>
  <c r="AP176" i="8"/>
  <c r="AP177" i="8"/>
  <c r="AP178" i="8"/>
  <c r="AP179" i="8"/>
  <c r="AP180" i="8"/>
  <c r="AP181" i="8"/>
  <c r="AP182" i="8"/>
  <c r="AP183" i="8"/>
  <c r="AQ183" i="8" s="1"/>
  <c r="AP184" i="8"/>
  <c r="AQ184" i="8" s="1"/>
  <c r="AP185" i="8"/>
  <c r="AP186" i="8"/>
  <c r="AP187" i="8"/>
  <c r="AP188" i="8"/>
  <c r="AP189" i="8"/>
  <c r="AP190" i="8"/>
  <c r="AP191" i="8"/>
  <c r="AP192" i="8"/>
  <c r="AP193" i="8"/>
  <c r="AP194" i="8"/>
  <c r="AQ194" i="8" s="1"/>
  <c r="AP195" i="8"/>
  <c r="AP196" i="8"/>
  <c r="AP197" i="8"/>
  <c r="AP198" i="8"/>
  <c r="AQ198" i="8" s="1"/>
  <c r="AP199" i="8"/>
  <c r="AP200" i="8"/>
  <c r="AP201" i="8"/>
  <c r="AP202" i="8"/>
  <c r="AP203" i="8"/>
  <c r="AP204" i="8"/>
  <c r="AP205" i="8"/>
  <c r="AP206" i="8"/>
  <c r="AP207" i="8"/>
  <c r="AP208" i="8"/>
  <c r="AP209" i="8"/>
  <c r="AP210" i="8"/>
  <c r="AP211" i="8"/>
  <c r="AP212" i="8"/>
  <c r="AP213" i="8"/>
  <c r="AP214" i="8"/>
  <c r="AP215" i="8"/>
  <c r="AP216" i="8"/>
  <c r="AP217" i="8"/>
  <c r="AP218" i="8"/>
  <c r="AP219" i="8"/>
  <c r="AP220" i="8"/>
  <c r="AP221" i="8"/>
  <c r="AP222" i="8"/>
  <c r="AQ222" i="8" s="1"/>
  <c r="AP223" i="8"/>
  <c r="AP224" i="8"/>
  <c r="AQ224" i="8" s="1"/>
  <c r="AP225" i="8"/>
  <c r="AP226" i="8"/>
  <c r="AP227" i="8"/>
  <c r="AP228" i="8"/>
  <c r="AP229" i="8"/>
  <c r="AP230" i="8"/>
  <c r="AP231" i="8"/>
  <c r="AP232" i="8"/>
  <c r="AP233" i="8"/>
  <c r="AP234" i="8"/>
  <c r="AP235" i="8"/>
  <c r="AP236" i="8"/>
  <c r="AP237" i="8"/>
  <c r="AP238" i="8"/>
  <c r="AQ238" i="8" s="1"/>
  <c r="AP239" i="8"/>
  <c r="AP240" i="8"/>
  <c r="AP241" i="8"/>
  <c r="AP242" i="8"/>
  <c r="AP243" i="8"/>
  <c r="AP244" i="8"/>
  <c r="AP245" i="8"/>
  <c r="AP246" i="8"/>
  <c r="AQ246" i="8" s="1"/>
  <c r="AP247" i="8"/>
  <c r="AP248" i="8"/>
  <c r="AP249" i="8"/>
  <c r="AP250" i="8"/>
  <c r="AP251" i="8"/>
  <c r="AP252" i="8"/>
  <c r="AP253" i="8"/>
  <c r="AP254" i="8"/>
  <c r="AP255" i="8"/>
  <c r="AP256" i="8"/>
  <c r="AP257" i="8"/>
  <c r="AP258" i="8"/>
  <c r="AP259" i="8"/>
  <c r="AP260" i="8"/>
  <c r="AP261" i="8"/>
  <c r="AP262" i="8"/>
  <c r="AP263" i="8"/>
  <c r="AP264" i="8"/>
  <c r="AP265" i="8"/>
  <c r="AQ265" i="8" s="1"/>
  <c r="AP266" i="8"/>
  <c r="AQ266" i="8" s="1"/>
  <c r="AP267" i="8"/>
  <c r="AP268" i="8"/>
  <c r="AQ268" i="8" s="1"/>
  <c r="AP269" i="8"/>
  <c r="AP270" i="8"/>
  <c r="AQ270" i="8" s="1"/>
  <c r="AP271" i="8"/>
  <c r="AP272" i="8"/>
  <c r="AP273" i="8"/>
  <c r="AP274" i="8"/>
  <c r="AP275" i="8"/>
  <c r="AP276" i="8"/>
  <c r="AP277" i="8"/>
  <c r="AP278" i="8"/>
  <c r="AP279" i="8"/>
  <c r="AQ279" i="8" s="1"/>
  <c r="AP280" i="8"/>
  <c r="AP281" i="8"/>
  <c r="AP282" i="8"/>
  <c r="AP283" i="8"/>
  <c r="AP284" i="8"/>
  <c r="AP285" i="8"/>
  <c r="AP286" i="8"/>
  <c r="AP287" i="8"/>
  <c r="AP288" i="8"/>
  <c r="AP289" i="8"/>
  <c r="AP290" i="8"/>
  <c r="AP291" i="8"/>
  <c r="AP292" i="8"/>
  <c r="AQ292" i="8" s="1"/>
  <c r="AP293" i="8"/>
  <c r="AP294" i="8"/>
  <c r="AQ294" i="8" s="1"/>
  <c r="AP295" i="8"/>
  <c r="AP296" i="8"/>
  <c r="AP297" i="8"/>
  <c r="AP298" i="8"/>
  <c r="AP299" i="8"/>
  <c r="AP300" i="8"/>
  <c r="AP301" i="8"/>
  <c r="AP302" i="8"/>
  <c r="AP303" i="8"/>
  <c r="AP304" i="8"/>
  <c r="AP305" i="8"/>
  <c r="AP306" i="8"/>
  <c r="AP307" i="8"/>
  <c r="AP308" i="8"/>
  <c r="AP309" i="8"/>
  <c r="AP310" i="8"/>
  <c r="AP311" i="8"/>
  <c r="AP312" i="8"/>
  <c r="AP313" i="8"/>
  <c r="AP314" i="8"/>
  <c r="AP315" i="8"/>
  <c r="AP316" i="8"/>
  <c r="AQ316" i="8" s="1"/>
  <c r="AP317" i="8"/>
  <c r="AP318" i="8"/>
  <c r="AQ318" i="8" s="1"/>
  <c r="AP319" i="8"/>
  <c r="AP320" i="8"/>
  <c r="AP321" i="8"/>
  <c r="AP322" i="8"/>
  <c r="AP323" i="8"/>
  <c r="AP324" i="8"/>
  <c r="AP325" i="8"/>
  <c r="AP326" i="8"/>
  <c r="AP327" i="8"/>
  <c r="AP328" i="8"/>
  <c r="AP329" i="8"/>
  <c r="AP330" i="8"/>
  <c r="AP331" i="8"/>
  <c r="AP332" i="8"/>
  <c r="AP333" i="8"/>
  <c r="AP334" i="8"/>
  <c r="AP335" i="8"/>
  <c r="AP336" i="8"/>
  <c r="AP337" i="8"/>
  <c r="AP338" i="8"/>
  <c r="AQ338" i="8" s="1"/>
  <c r="AP339" i="8"/>
  <c r="AP340" i="8"/>
  <c r="AQ340" i="8" s="1"/>
  <c r="AP341" i="8"/>
  <c r="AP342" i="8"/>
  <c r="AQ342" i="8" s="1"/>
  <c r="AP343" i="8"/>
  <c r="AP344" i="8"/>
  <c r="AP345" i="8"/>
  <c r="AP346" i="8"/>
  <c r="AP347" i="8"/>
  <c r="AP348" i="8"/>
  <c r="AP349" i="8"/>
  <c r="AP350" i="8"/>
  <c r="AP351" i="8"/>
  <c r="AQ351" i="8" s="1"/>
  <c r="AP352" i="8"/>
  <c r="AQ352" i="8" s="1"/>
  <c r="AP353" i="8"/>
  <c r="AP354" i="8"/>
  <c r="AP355" i="8"/>
  <c r="AP356" i="8"/>
  <c r="AP357" i="8"/>
  <c r="AP358" i="8"/>
  <c r="AP359" i="8"/>
  <c r="AP360" i="8"/>
  <c r="AP361" i="8"/>
  <c r="AP362" i="8"/>
  <c r="AP363" i="8"/>
  <c r="AQ363" i="8" s="1"/>
  <c r="AP364" i="8"/>
  <c r="AQ364" i="8" s="1"/>
  <c r="AP365" i="8"/>
  <c r="AP366" i="8"/>
  <c r="AQ366" i="8" s="1"/>
  <c r="AP367" i="8"/>
  <c r="AP368" i="8"/>
  <c r="AP369" i="8"/>
  <c r="AP370" i="8"/>
  <c r="AP371" i="8"/>
  <c r="AP372" i="8"/>
  <c r="AP373" i="8"/>
  <c r="AP374" i="8"/>
  <c r="AP375" i="8"/>
  <c r="AP376" i="8"/>
  <c r="AP377" i="8"/>
  <c r="AP378" i="8"/>
  <c r="AP379" i="8"/>
  <c r="AP380" i="8"/>
  <c r="AQ16" i="8"/>
  <c r="AQ18" i="8"/>
  <c r="AQ19" i="8"/>
  <c r="AQ20" i="8"/>
  <c r="AQ21" i="8"/>
  <c r="AQ22" i="8"/>
  <c r="AQ23" i="8"/>
  <c r="AQ24" i="8"/>
  <c r="AQ26" i="8"/>
  <c r="AQ28" i="8"/>
  <c r="AQ30" i="8"/>
  <c r="AQ33" i="8"/>
  <c r="AQ34" i="8"/>
  <c r="AQ36" i="8"/>
  <c r="AQ43" i="8"/>
  <c r="AQ44" i="8"/>
  <c r="AQ45" i="8"/>
  <c r="AQ46" i="8"/>
  <c r="AQ48" i="8"/>
  <c r="AQ49" i="8"/>
  <c r="AQ50" i="8"/>
  <c r="AQ51" i="8"/>
  <c r="AQ52" i="8"/>
  <c r="AQ54" i="8"/>
  <c r="AQ57" i="8"/>
  <c r="AQ60" i="8"/>
  <c r="AQ63" i="8"/>
  <c r="AQ64" i="8"/>
  <c r="AQ72" i="8"/>
  <c r="AQ73" i="8"/>
  <c r="AQ74" i="8"/>
  <c r="AQ75" i="8"/>
  <c r="AQ76" i="8"/>
  <c r="AQ78" i="8"/>
  <c r="AQ80" i="8"/>
  <c r="AQ82" i="8"/>
  <c r="AQ88" i="8"/>
  <c r="AQ90" i="8"/>
  <c r="AQ91" i="8"/>
  <c r="AQ92" i="8"/>
  <c r="AQ98" i="8"/>
  <c r="AQ99" i="8"/>
  <c r="AQ100" i="8"/>
  <c r="AQ102" i="8"/>
  <c r="AQ104" i="8"/>
  <c r="AQ105" i="8"/>
  <c r="AQ106" i="8"/>
  <c r="AQ111" i="8"/>
  <c r="AQ115" i="8"/>
  <c r="AQ116" i="8"/>
  <c r="AQ117" i="8"/>
  <c r="AQ118" i="8"/>
  <c r="AQ128" i="8"/>
  <c r="AQ129" i="8"/>
  <c r="AQ130" i="8"/>
  <c r="AQ132" i="8"/>
  <c r="AQ135" i="8"/>
  <c r="AQ136" i="8"/>
  <c r="AQ139" i="8"/>
  <c r="AQ141" i="8"/>
  <c r="AQ144" i="8"/>
  <c r="AQ145" i="8"/>
  <c r="AQ146" i="8"/>
  <c r="AQ147" i="8"/>
  <c r="AQ153" i="8"/>
  <c r="AQ156" i="8"/>
  <c r="AQ159" i="8"/>
  <c r="AQ160" i="8"/>
  <c r="AQ162" i="8"/>
  <c r="AQ163" i="8"/>
  <c r="AQ164" i="8"/>
  <c r="AQ165" i="8"/>
  <c r="AQ169" i="8"/>
  <c r="AQ171" i="8"/>
  <c r="AQ172" i="8"/>
  <c r="AQ176" i="8"/>
  <c r="AQ177" i="8"/>
  <c r="AQ186" i="8"/>
  <c r="AQ187" i="8"/>
  <c r="AQ188" i="8"/>
  <c r="AQ189" i="8"/>
  <c r="AQ190" i="8"/>
  <c r="AQ192" i="8"/>
  <c r="AQ193" i="8"/>
  <c r="AQ195" i="8"/>
  <c r="AQ201" i="8"/>
  <c r="AQ202" i="8"/>
  <c r="AQ204" i="8"/>
  <c r="AQ207" i="8"/>
  <c r="AQ211" i="8"/>
  <c r="AQ212" i="8"/>
  <c r="AQ213" i="8"/>
  <c r="AQ214" i="8"/>
  <c r="AQ216" i="8"/>
  <c r="AQ217" i="8"/>
  <c r="AQ218" i="8"/>
  <c r="AQ219" i="8"/>
  <c r="AQ220" i="8"/>
  <c r="AQ225" i="8"/>
  <c r="AQ230" i="8"/>
  <c r="AQ231" i="8"/>
  <c r="AQ232" i="8"/>
  <c r="AQ234" i="8"/>
  <c r="AQ240" i="8"/>
  <c r="AQ241" i="8"/>
  <c r="AQ242" i="8"/>
  <c r="AQ243" i="8"/>
  <c r="AQ244" i="8"/>
  <c r="AQ248" i="8"/>
  <c r="AQ249" i="8"/>
  <c r="AQ250" i="8"/>
  <c r="AQ252" i="8"/>
  <c r="AQ255" i="8"/>
  <c r="AQ258" i="8"/>
  <c r="AQ259" i="8"/>
  <c r="AQ260" i="8"/>
  <c r="AQ261" i="8"/>
  <c r="AQ267" i="8"/>
  <c r="AQ272" i="8"/>
  <c r="AQ273" i="8"/>
  <c r="AQ274" i="8"/>
  <c r="AQ276" i="8"/>
  <c r="AQ278" i="8"/>
  <c r="AQ280" i="8"/>
  <c r="AQ282" i="8"/>
  <c r="AQ284" i="8"/>
  <c r="AQ285" i="8"/>
  <c r="AQ286" i="8"/>
  <c r="AQ288" i="8"/>
  <c r="AQ296" i="8"/>
  <c r="AQ297" i="8"/>
  <c r="AQ298" i="8"/>
  <c r="AQ300" i="8"/>
  <c r="AQ302" i="8"/>
  <c r="AQ303" i="8"/>
  <c r="AQ304" i="8"/>
  <c r="AQ308" i="8"/>
  <c r="AQ310" i="8"/>
  <c r="AQ312" i="8"/>
  <c r="AQ313" i="8"/>
  <c r="AQ314" i="8"/>
  <c r="AQ315" i="8"/>
  <c r="AQ322" i="8"/>
  <c r="AQ324" i="8"/>
  <c r="AQ326" i="8"/>
  <c r="AQ327" i="8"/>
  <c r="AQ328" i="8"/>
  <c r="AQ330" i="8"/>
  <c r="AQ332" i="8"/>
  <c r="AQ333" i="8"/>
  <c r="AQ334" i="8"/>
  <c r="AQ336" i="8"/>
  <c r="AQ344" i="8"/>
  <c r="AQ345" i="8"/>
  <c r="AQ346" i="8"/>
  <c r="AQ354" i="8"/>
  <c r="AQ356" i="8"/>
  <c r="AQ357" i="8"/>
  <c r="AQ358" i="8"/>
  <c r="AQ360" i="8"/>
  <c r="AQ361" i="8"/>
  <c r="AQ362" i="8"/>
  <c r="AQ368" i="8"/>
  <c r="AQ370" i="8"/>
  <c r="AQ372" i="8"/>
  <c r="AQ374" i="8"/>
  <c r="AQ375" i="8"/>
  <c r="AQ380" i="8"/>
  <c r="AR15" i="8"/>
  <c r="AR16" i="8"/>
  <c r="AR18" i="8"/>
  <c r="AR19" i="8"/>
  <c r="AR20" i="8"/>
  <c r="AR21" i="8"/>
  <c r="AR22" i="8"/>
  <c r="AR23" i="8"/>
  <c r="AR24" i="8"/>
  <c r="AR25" i="8"/>
  <c r="AR26" i="8"/>
  <c r="AR28" i="8"/>
  <c r="AR30" i="8"/>
  <c r="AR32" i="8"/>
  <c r="AR33" i="8"/>
  <c r="AR34" i="8"/>
  <c r="AR40" i="8"/>
  <c r="AR42" i="8"/>
  <c r="AR43" i="8"/>
  <c r="AR44" i="8"/>
  <c r="AR45" i="8"/>
  <c r="AR46" i="8"/>
  <c r="AR48" i="8"/>
  <c r="AR49" i="8"/>
  <c r="AR50" i="8"/>
  <c r="AR51" i="8"/>
  <c r="AR52" i="8"/>
  <c r="AR54" i="8"/>
  <c r="AR57" i="8"/>
  <c r="AR58" i="8"/>
  <c r="AR60" i="8"/>
  <c r="AR62" i="8"/>
  <c r="AR66" i="8"/>
  <c r="AR67" i="8"/>
  <c r="AR68" i="8"/>
  <c r="AR69" i="8"/>
  <c r="AR70" i="8"/>
  <c r="AR72" i="8"/>
  <c r="AR73" i="8"/>
  <c r="AR74" i="8"/>
  <c r="AR75" i="8"/>
  <c r="AR76" i="8"/>
  <c r="AR78" i="8"/>
  <c r="AR81" i="8"/>
  <c r="AR84" i="8"/>
  <c r="AR86" i="8"/>
  <c r="AR87" i="8"/>
  <c r="AR88" i="8"/>
  <c r="AR92" i="8"/>
  <c r="AR93" i="8"/>
  <c r="AR94" i="8"/>
  <c r="AR96" i="8"/>
  <c r="AR97" i="8"/>
  <c r="AR98" i="8"/>
  <c r="AR99" i="8"/>
  <c r="AR100" i="8"/>
  <c r="AR101" i="8"/>
  <c r="AR102" i="8"/>
  <c r="AR104" i="8"/>
  <c r="AR105" i="8"/>
  <c r="AR110" i="8"/>
  <c r="AR111" i="8"/>
  <c r="AR112" i="8"/>
  <c r="AR114" i="8"/>
  <c r="AR118" i="8"/>
  <c r="AR120" i="8"/>
  <c r="AR121" i="8"/>
  <c r="AR122" i="8"/>
  <c r="AR123" i="8"/>
  <c r="AR124" i="8"/>
  <c r="AR126" i="8"/>
  <c r="AR128" i="8"/>
  <c r="AR129" i="8"/>
  <c r="AR130" i="8"/>
  <c r="AR134" i="8"/>
  <c r="AR136" i="8"/>
  <c r="AR138" i="8"/>
  <c r="AR139" i="8"/>
  <c r="AR140" i="8"/>
  <c r="AR144" i="8"/>
  <c r="AR145" i="8"/>
  <c r="AR146" i="8"/>
  <c r="AR147" i="8"/>
  <c r="AR148" i="8"/>
  <c r="AR150" i="8"/>
  <c r="AR152" i="8"/>
  <c r="AR153" i="8"/>
  <c r="AR154" i="8"/>
  <c r="AR158" i="8"/>
  <c r="AR160" i="8"/>
  <c r="AR162" i="8"/>
  <c r="AR163" i="8"/>
  <c r="AR164" i="8"/>
  <c r="AR165" i="8"/>
  <c r="AR166" i="8"/>
  <c r="AR170" i="8"/>
  <c r="AR171" i="8"/>
  <c r="AR172" i="8"/>
  <c r="AR174" i="8"/>
  <c r="AR176" i="8"/>
  <c r="AR177" i="8"/>
  <c r="AR178" i="8"/>
  <c r="AR180" i="8"/>
  <c r="AR182" i="8"/>
  <c r="AR183" i="8"/>
  <c r="AR184" i="8"/>
  <c r="AR186" i="8"/>
  <c r="AR188" i="8"/>
  <c r="AR189" i="8"/>
  <c r="AR190" i="8"/>
  <c r="AR192" i="8"/>
  <c r="AR196" i="8"/>
  <c r="AR198" i="8"/>
  <c r="AR200" i="8"/>
  <c r="AR201" i="8"/>
  <c r="AR202" i="8"/>
  <c r="AR204" i="8"/>
  <c r="AR206" i="8"/>
  <c r="AR207" i="8"/>
  <c r="AR208" i="8"/>
  <c r="AR210" i="8"/>
  <c r="AR212" i="8"/>
  <c r="AR214" i="8"/>
  <c r="AR216" i="8"/>
  <c r="AR217" i="8"/>
  <c r="AR218" i="8"/>
  <c r="AR222" i="8"/>
  <c r="AR224" i="8"/>
  <c r="AR225" i="8"/>
  <c r="AR226" i="8"/>
  <c r="AR228" i="8"/>
  <c r="AR230" i="8"/>
  <c r="AR231" i="8"/>
  <c r="AR232" i="8"/>
  <c r="AR233" i="8"/>
  <c r="AR234" i="8"/>
  <c r="AR235" i="8"/>
  <c r="AR236" i="8"/>
  <c r="AR238" i="8"/>
  <c r="AR240" i="8"/>
  <c r="AR241" i="8"/>
  <c r="AR242" i="8"/>
  <c r="AR243" i="8"/>
  <c r="AR244" i="8"/>
  <c r="AR249" i="8"/>
  <c r="AR250" i="8"/>
  <c r="AR252" i="8"/>
  <c r="AR254" i="8"/>
  <c r="AR255" i="8"/>
  <c r="AR256" i="8"/>
  <c r="AR258" i="8"/>
  <c r="AR259" i="8"/>
  <c r="AR260" i="8"/>
  <c r="AR261" i="8"/>
  <c r="AR262" i="8"/>
  <c r="AR264" i="8"/>
  <c r="AR266" i="8"/>
  <c r="AR267" i="8"/>
  <c r="AR268" i="8"/>
  <c r="AR270" i="8"/>
  <c r="AR276" i="8"/>
  <c r="AR278" i="8"/>
  <c r="AR279" i="8"/>
  <c r="AR280" i="8"/>
  <c r="AR282" i="8"/>
  <c r="AR283" i="8"/>
  <c r="AR284" i="8"/>
  <c r="AR285" i="8"/>
  <c r="AR286" i="8"/>
  <c r="AR288" i="8"/>
  <c r="AR290" i="8"/>
  <c r="AR292" i="8"/>
  <c r="AR294" i="8"/>
  <c r="AR296" i="8"/>
  <c r="AR297" i="8"/>
  <c r="AR302" i="8"/>
  <c r="AR303" i="8"/>
  <c r="AR304" i="8"/>
  <c r="AR306" i="8"/>
  <c r="AR308" i="8"/>
  <c r="AR309" i="8"/>
  <c r="AR310" i="8"/>
  <c r="AR312" i="8"/>
  <c r="AR313" i="8"/>
  <c r="AR314" i="8"/>
  <c r="AR315" i="8"/>
  <c r="AR320" i="8"/>
  <c r="AR321" i="8"/>
  <c r="AR322" i="8"/>
  <c r="AR324" i="8"/>
  <c r="AR330" i="8"/>
  <c r="AR332" i="8"/>
  <c r="AR333" i="8"/>
  <c r="AR334" i="8"/>
  <c r="AR336" i="8"/>
  <c r="AR337" i="8"/>
  <c r="AR338" i="8"/>
  <c r="AR339" i="8"/>
  <c r="AR340" i="8"/>
  <c r="AR345" i="8"/>
  <c r="AR348" i="8"/>
  <c r="AR350" i="8"/>
  <c r="AR351" i="8"/>
  <c r="AR352" i="8"/>
  <c r="AR357" i="8"/>
  <c r="AR358" i="8"/>
  <c r="AR360" i="8"/>
  <c r="AR361" i="8"/>
  <c r="AR362" i="8"/>
  <c r="AR363" i="8"/>
  <c r="AR364" i="8"/>
  <c r="AR366" i="8"/>
  <c r="AR368" i="8"/>
  <c r="AR369" i="8"/>
  <c r="AR370" i="8"/>
  <c r="AR372" i="8"/>
  <c r="AR375" i="8"/>
  <c r="AR376" i="8"/>
  <c r="AR378" i="8"/>
  <c r="AR380" i="8"/>
  <c r="AU15" i="8"/>
  <c r="AU16" i="8"/>
  <c r="AU17" i="8"/>
  <c r="AU18" i="8"/>
  <c r="AU19" i="8"/>
  <c r="AU20" i="8"/>
  <c r="AU21" i="8"/>
  <c r="AU22" i="8"/>
  <c r="AU23" i="8"/>
  <c r="AU24" i="8"/>
  <c r="AU25" i="8"/>
  <c r="AU26" i="8"/>
  <c r="AU27" i="8"/>
  <c r="AU28" i="8"/>
  <c r="AU29" i="8"/>
  <c r="AU30" i="8"/>
  <c r="AU31" i="8"/>
  <c r="AU32" i="8"/>
  <c r="AU33" i="8"/>
  <c r="AU34" i="8"/>
  <c r="AU35" i="8"/>
  <c r="AU36" i="8"/>
  <c r="AU37" i="8"/>
  <c r="AU38" i="8"/>
  <c r="AU39" i="8"/>
  <c r="AU40" i="8"/>
  <c r="AU41" i="8"/>
  <c r="AU42" i="8"/>
  <c r="AU43" i="8"/>
  <c r="AU44" i="8"/>
  <c r="AU45" i="8"/>
  <c r="AU46" i="8"/>
  <c r="AU47" i="8"/>
  <c r="AU48" i="8"/>
  <c r="AU49" i="8"/>
  <c r="AU50" i="8"/>
  <c r="AU51" i="8"/>
  <c r="AU52" i="8"/>
  <c r="AU53" i="8"/>
  <c r="AU54" i="8"/>
  <c r="AU55" i="8"/>
  <c r="AU56" i="8"/>
  <c r="AU57" i="8"/>
  <c r="AU58" i="8"/>
  <c r="AU59" i="8"/>
  <c r="AU60" i="8"/>
  <c r="AU61" i="8"/>
  <c r="AU62" i="8"/>
  <c r="AU63" i="8"/>
  <c r="AU64" i="8"/>
  <c r="AU65" i="8"/>
  <c r="AU66" i="8"/>
  <c r="AU67" i="8"/>
  <c r="AU68" i="8"/>
  <c r="AU69" i="8"/>
  <c r="AU70" i="8"/>
  <c r="AU71" i="8"/>
  <c r="AU72" i="8"/>
  <c r="AU73" i="8"/>
  <c r="AU74" i="8"/>
  <c r="AU75" i="8"/>
  <c r="AU76" i="8"/>
  <c r="AU77" i="8"/>
  <c r="AU78" i="8"/>
  <c r="AU79" i="8"/>
  <c r="AU80" i="8"/>
  <c r="AU81" i="8"/>
  <c r="AU82" i="8"/>
  <c r="AU83" i="8"/>
  <c r="AU84" i="8"/>
  <c r="AU85" i="8"/>
  <c r="AU86" i="8"/>
  <c r="AU87" i="8"/>
  <c r="AU88" i="8"/>
  <c r="AU89" i="8"/>
  <c r="AU90" i="8"/>
  <c r="AU91" i="8"/>
  <c r="AU92" i="8"/>
  <c r="AU93" i="8"/>
  <c r="AU94" i="8"/>
  <c r="AU95" i="8"/>
  <c r="AU96" i="8"/>
  <c r="AU97" i="8"/>
  <c r="AU98" i="8"/>
  <c r="AU99" i="8"/>
  <c r="AU100" i="8"/>
  <c r="AU101" i="8"/>
  <c r="AU102" i="8"/>
  <c r="AU103" i="8"/>
  <c r="AU104" i="8"/>
  <c r="AU105" i="8"/>
  <c r="AU106" i="8"/>
  <c r="AU107" i="8"/>
  <c r="AU108" i="8"/>
  <c r="AU109" i="8"/>
  <c r="AU110" i="8"/>
  <c r="AU111" i="8"/>
  <c r="AU112" i="8"/>
  <c r="AU113" i="8"/>
  <c r="AU114" i="8"/>
  <c r="AU115" i="8"/>
  <c r="AU116" i="8"/>
  <c r="AU117" i="8"/>
  <c r="AU118" i="8"/>
  <c r="AU119" i="8"/>
  <c r="AU120" i="8"/>
  <c r="AU121" i="8"/>
  <c r="AU122" i="8"/>
  <c r="AU123" i="8"/>
  <c r="AU124" i="8"/>
  <c r="AU125" i="8"/>
  <c r="AU126" i="8"/>
  <c r="AU127" i="8"/>
  <c r="AU128" i="8"/>
  <c r="AU129" i="8"/>
  <c r="AU130" i="8"/>
  <c r="AU131" i="8"/>
  <c r="AU132" i="8"/>
  <c r="AU133" i="8"/>
  <c r="AU134" i="8"/>
  <c r="AU135" i="8"/>
  <c r="AU136" i="8"/>
  <c r="AU137" i="8"/>
  <c r="AU138" i="8"/>
  <c r="AU139" i="8"/>
  <c r="AU140" i="8"/>
  <c r="AU141" i="8"/>
  <c r="AU142" i="8"/>
  <c r="AU143" i="8"/>
  <c r="AU144" i="8"/>
  <c r="AU145" i="8"/>
  <c r="AU146" i="8"/>
  <c r="AU147" i="8"/>
  <c r="AU148" i="8"/>
  <c r="AU149" i="8"/>
  <c r="AU150" i="8"/>
  <c r="AU151" i="8"/>
  <c r="AU152" i="8"/>
  <c r="AU153" i="8"/>
  <c r="AU154" i="8"/>
  <c r="AU155" i="8"/>
  <c r="AU156" i="8"/>
  <c r="AU157" i="8"/>
  <c r="AU158" i="8"/>
  <c r="AU159" i="8"/>
  <c r="AU160" i="8"/>
  <c r="AU161" i="8"/>
  <c r="AU162" i="8"/>
  <c r="AU163" i="8"/>
  <c r="AU164" i="8"/>
  <c r="AU165" i="8"/>
  <c r="AU166" i="8"/>
  <c r="AU167" i="8"/>
  <c r="AU168" i="8"/>
  <c r="AU169" i="8"/>
  <c r="AU170" i="8"/>
  <c r="AU171" i="8"/>
  <c r="AU172" i="8"/>
  <c r="AU173" i="8"/>
  <c r="AU174" i="8"/>
  <c r="AU175" i="8"/>
  <c r="AU176" i="8"/>
  <c r="AU177" i="8"/>
  <c r="AU178" i="8"/>
  <c r="AU179" i="8"/>
  <c r="AU180" i="8"/>
  <c r="AU181" i="8"/>
  <c r="AU182" i="8"/>
  <c r="AU183" i="8"/>
  <c r="AU184" i="8"/>
  <c r="AU185" i="8"/>
  <c r="AU186" i="8"/>
  <c r="AU187" i="8"/>
  <c r="AU188" i="8"/>
  <c r="AU189" i="8"/>
  <c r="AU190" i="8"/>
  <c r="AU191" i="8"/>
  <c r="AU192" i="8"/>
  <c r="AU193" i="8"/>
  <c r="AU194" i="8"/>
  <c r="AU195" i="8"/>
  <c r="AU196" i="8"/>
  <c r="AU197" i="8"/>
  <c r="AU198" i="8"/>
  <c r="AU199" i="8"/>
  <c r="AU200" i="8"/>
  <c r="AU201" i="8"/>
  <c r="AU202" i="8"/>
  <c r="AU203" i="8"/>
  <c r="AU204" i="8"/>
  <c r="AU205" i="8"/>
  <c r="AU206" i="8"/>
  <c r="AU207" i="8"/>
  <c r="AU208" i="8"/>
  <c r="AU209" i="8"/>
  <c r="AU210" i="8"/>
  <c r="AU211" i="8"/>
  <c r="AU212" i="8"/>
  <c r="AU213" i="8"/>
  <c r="AU214" i="8"/>
  <c r="AU215" i="8"/>
  <c r="AU216" i="8"/>
  <c r="AU217" i="8"/>
  <c r="AU218" i="8"/>
  <c r="AU219" i="8"/>
  <c r="AU220" i="8"/>
  <c r="AU221" i="8"/>
  <c r="AU222" i="8"/>
  <c r="AU223" i="8"/>
  <c r="AU224" i="8"/>
  <c r="AU225" i="8"/>
  <c r="AU226" i="8"/>
  <c r="AU227" i="8"/>
  <c r="AU228" i="8"/>
  <c r="AU229" i="8"/>
  <c r="AU230" i="8"/>
  <c r="AU231" i="8"/>
  <c r="AU232" i="8"/>
  <c r="AU233" i="8"/>
  <c r="AU234" i="8"/>
  <c r="AU235" i="8"/>
  <c r="AU236" i="8"/>
  <c r="AU237" i="8"/>
  <c r="AU238" i="8"/>
  <c r="AU239" i="8"/>
  <c r="AU240" i="8"/>
  <c r="AU241" i="8"/>
  <c r="AU242" i="8"/>
  <c r="AU243" i="8"/>
  <c r="AU244" i="8"/>
  <c r="AU245" i="8"/>
  <c r="AU246" i="8"/>
  <c r="AU247" i="8"/>
  <c r="AU248" i="8"/>
  <c r="AU249" i="8"/>
  <c r="AU250" i="8"/>
  <c r="AU251" i="8"/>
  <c r="AU252" i="8"/>
  <c r="AU253" i="8"/>
  <c r="AU254" i="8"/>
  <c r="AU255" i="8"/>
  <c r="AU256" i="8"/>
  <c r="AU257" i="8"/>
  <c r="AU258" i="8"/>
  <c r="AU259" i="8"/>
  <c r="AU260" i="8"/>
  <c r="AU261" i="8"/>
  <c r="AU262" i="8"/>
  <c r="AU263" i="8"/>
  <c r="AU264" i="8"/>
  <c r="AU265" i="8"/>
  <c r="AU266" i="8"/>
  <c r="AU267" i="8"/>
  <c r="AU268" i="8"/>
  <c r="AU269" i="8"/>
  <c r="AU270" i="8"/>
  <c r="AU271" i="8"/>
  <c r="AU272" i="8"/>
  <c r="AU273" i="8"/>
  <c r="AU274" i="8"/>
  <c r="AU275" i="8"/>
  <c r="AU276" i="8"/>
  <c r="AU277" i="8"/>
  <c r="AU278" i="8"/>
  <c r="AU279" i="8"/>
  <c r="AU280" i="8"/>
  <c r="AU281" i="8"/>
  <c r="AU282" i="8"/>
  <c r="AU283" i="8"/>
  <c r="AU284" i="8"/>
  <c r="AU285" i="8"/>
  <c r="AU286" i="8"/>
  <c r="AU287" i="8"/>
  <c r="AU288" i="8"/>
  <c r="AU289" i="8"/>
  <c r="AU290" i="8"/>
  <c r="AU291" i="8"/>
  <c r="AU292" i="8"/>
  <c r="AU293" i="8"/>
  <c r="AU294" i="8"/>
  <c r="AU295" i="8"/>
  <c r="AU296" i="8"/>
  <c r="AU297" i="8"/>
  <c r="AU298" i="8"/>
  <c r="AU299" i="8"/>
  <c r="AU300" i="8"/>
  <c r="AU301" i="8"/>
  <c r="AU302" i="8"/>
  <c r="AU303" i="8"/>
  <c r="AU304" i="8"/>
  <c r="AU305" i="8"/>
  <c r="AU306" i="8"/>
  <c r="AU307" i="8"/>
  <c r="AU308" i="8"/>
  <c r="AU309" i="8"/>
  <c r="AU310" i="8"/>
  <c r="AU311" i="8"/>
  <c r="AU312" i="8"/>
  <c r="AU313" i="8"/>
  <c r="AU314" i="8"/>
  <c r="AU315" i="8"/>
  <c r="AU316" i="8"/>
  <c r="AU317" i="8"/>
  <c r="AU318" i="8"/>
  <c r="AU319" i="8"/>
  <c r="AU320" i="8"/>
  <c r="AU321" i="8"/>
  <c r="AU322" i="8"/>
  <c r="AU323" i="8"/>
  <c r="AU324" i="8"/>
  <c r="AU325" i="8"/>
  <c r="AU326" i="8"/>
  <c r="AU327" i="8"/>
  <c r="AU328" i="8"/>
  <c r="AU329" i="8"/>
  <c r="AU330" i="8"/>
  <c r="AU331" i="8"/>
  <c r="AU332" i="8"/>
  <c r="AU333" i="8"/>
  <c r="AU334" i="8"/>
  <c r="AU335" i="8"/>
  <c r="AU336" i="8"/>
  <c r="AU337" i="8"/>
  <c r="AU338" i="8"/>
  <c r="AU339" i="8"/>
  <c r="AU340" i="8"/>
  <c r="AU341" i="8"/>
  <c r="AU342" i="8"/>
  <c r="AU343" i="8"/>
  <c r="AU344" i="8"/>
  <c r="AU345" i="8"/>
  <c r="AU346" i="8"/>
  <c r="AU347" i="8"/>
  <c r="AU348" i="8"/>
  <c r="AU349" i="8"/>
  <c r="AU350" i="8"/>
  <c r="AU351" i="8"/>
  <c r="AU352" i="8"/>
  <c r="AU353" i="8"/>
  <c r="AU354" i="8"/>
  <c r="AU355" i="8"/>
  <c r="AU356" i="8"/>
  <c r="AU357" i="8"/>
  <c r="AU358" i="8"/>
  <c r="AU359" i="8"/>
  <c r="AU360" i="8"/>
  <c r="AU361" i="8"/>
  <c r="AU362" i="8"/>
  <c r="AU363" i="8"/>
  <c r="AU364" i="8"/>
  <c r="AU365" i="8"/>
  <c r="AU366" i="8"/>
  <c r="AU367" i="8"/>
  <c r="AU368" i="8"/>
  <c r="AU369" i="8"/>
  <c r="AU370" i="8"/>
  <c r="AU371" i="8"/>
  <c r="AU372" i="8"/>
  <c r="AU373" i="8"/>
  <c r="AU374" i="8"/>
  <c r="AU375" i="8"/>
  <c r="AU376" i="8"/>
  <c r="AU377" i="8"/>
  <c r="AU378" i="8"/>
  <c r="AU379" i="8"/>
  <c r="AU380"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AV85" i="8"/>
  <c r="AV86" i="8"/>
  <c r="AV87" i="8"/>
  <c r="AV88" i="8"/>
  <c r="AV89" i="8"/>
  <c r="AV90" i="8"/>
  <c r="AV91" i="8"/>
  <c r="AV92" i="8"/>
  <c r="AV93" i="8"/>
  <c r="AV94" i="8"/>
  <c r="AV95" i="8"/>
  <c r="AV96" i="8"/>
  <c r="AV97" i="8"/>
  <c r="AV98" i="8"/>
  <c r="AV99" i="8"/>
  <c r="AV100" i="8"/>
  <c r="AV101" i="8"/>
  <c r="AV102" i="8"/>
  <c r="AV103" i="8"/>
  <c r="AV104" i="8"/>
  <c r="AV105" i="8"/>
  <c r="AV106" i="8"/>
  <c r="AV107" i="8"/>
  <c r="AV108" i="8"/>
  <c r="AV109" i="8"/>
  <c r="AV110" i="8"/>
  <c r="AV111" i="8"/>
  <c r="AV112" i="8"/>
  <c r="AV113" i="8"/>
  <c r="AV114" i="8"/>
  <c r="AV115" i="8"/>
  <c r="AV116" i="8"/>
  <c r="AV117" i="8"/>
  <c r="AV118" i="8"/>
  <c r="AV119" i="8"/>
  <c r="AV120" i="8"/>
  <c r="AV121" i="8"/>
  <c r="AV122" i="8"/>
  <c r="AV123" i="8"/>
  <c r="AV124" i="8"/>
  <c r="AV125" i="8"/>
  <c r="AV126" i="8"/>
  <c r="AV127" i="8"/>
  <c r="AV128" i="8"/>
  <c r="AV129" i="8"/>
  <c r="AV130" i="8"/>
  <c r="AV131" i="8"/>
  <c r="AV132" i="8"/>
  <c r="AV133" i="8"/>
  <c r="AV134" i="8"/>
  <c r="AV135" i="8"/>
  <c r="AV136" i="8"/>
  <c r="AV137" i="8"/>
  <c r="AV138" i="8"/>
  <c r="AV139" i="8"/>
  <c r="AV140" i="8"/>
  <c r="AV141" i="8"/>
  <c r="AV142" i="8"/>
  <c r="AV143" i="8"/>
  <c r="AV144" i="8"/>
  <c r="AV145" i="8"/>
  <c r="AV146" i="8"/>
  <c r="AV147" i="8"/>
  <c r="AV148" i="8"/>
  <c r="AV149" i="8"/>
  <c r="AV150" i="8"/>
  <c r="AV151" i="8"/>
  <c r="AV152" i="8"/>
  <c r="AV153" i="8"/>
  <c r="AV154" i="8"/>
  <c r="AV155" i="8"/>
  <c r="AV156" i="8"/>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AV246" i="8"/>
  <c r="AV247" i="8"/>
  <c r="AV248" i="8"/>
  <c r="AV249" i="8"/>
  <c r="AV250" i="8"/>
  <c r="AV251" i="8"/>
  <c r="AV252" i="8"/>
  <c r="AV253" i="8"/>
  <c r="AV254" i="8"/>
  <c r="AV255" i="8"/>
  <c r="AV256" i="8"/>
  <c r="AV257" i="8"/>
  <c r="AV258" i="8"/>
  <c r="AV259" i="8"/>
  <c r="AV260" i="8"/>
  <c r="AV261" i="8"/>
  <c r="AV262" i="8"/>
  <c r="AV263" i="8"/>
  <c r="AV264" i="8"/>
  <c r="AV265" i="8"/>
  <c r="AV266" i="8"/>
  <c r="AV267" i="8"/>
  <c r="AV268" i="8"/>
  <c r="AV269" i="8"/>
  <c r="AV270" i="8"/>
  <c r="AV271" i="8"/>
  <c r="AV272" i="8"/>
  <c r="AV273" i="8"/>
  <c r="AV274" i="8"/>
  <c r="AV275" i="8"/>
  <c r="AV276" i="8"/>
  <c r="AV277" i="8"/>
  <c r="AV278" i="8"/>
  <c r="AV279" i="8"/>
  <c r="AV280" i="8"/>
  <c r="AV281" i="8"/>
  <c r="AV282" i="8"/>
  <c r="AV283" i="8"/>
  <c r="AV284" i="8"/>
  <c r="AV285" i="8"/>
  <c r="AV286" i="8"/>
  <c r="AV287" i="8"/>
  <c r="AV288" i="8"/>
  <c r="AV289" i="8"/>
  <c r="AV290" i="8"/>
  <c r="AV291" i="8"/>
  <c r="AV292" i="8"/>
  <c r="AV293" i="8"/>
  <c r="AV294" i="8"/>
  <c r="AV295" i="8"/>
  <c r="AV296" i="8"/>
  <c r="AV297" i="8"/>
  <c r="AV298" i="8"/>
  <c r="AV299" i="8"/>
  <c r="AV300" i="8"/>
  <c r="AV301" i="8"/>
  <c r="AV302" i="8"/>
  <c r="AV303" i="8"/>
  <c r="AV304" i="8"/>
  <c r="AV305" i="8"/>
  <c r="AV306" i="8"/>
  <c r="AV307" i="8"/>
  <c r="AV308" i="8"/>
  <c r="AV309" i="8"/>
  <c r="AV310" i="8"/>
  <c r="AV311" i="8"/>
  <c r="AV312" i="8"/>
  <c r="AV313" i="8"/>
  <c r="AV314" i="8"/>
  <c r="AV315" i="8"/>
  <c r="AV316" i="8"/>
  <c r="AV317" i="8"/>
  <c r="AV318" i="8"/>
  <c r="AV319" i="8"/>
  <c r="AV320" i="8"/>
  <c r="AV321" i="8"/>
  <c r="AV322" i="8"/>
  <c r="AV323" i="8"/>
  <c r="AV324" i="8"/>
  <c r="AV325" i="8"/>
  <c r="AV326" i="8"/>
  <c r="AV327" i="8"/>
  <c r="AV328" i="8"/>
  <c r="AV329" i="8"/>
  <c r="AV330" i="8"/>
  <c r="AV331" i="8"/>
  <c r="AV332" i="8"/>
  <c r="AV333" i="8"/>
  <c r="AV334" i="8"/>
  <c r="AV335" i="8"/>
  <c r="AV336" i="8"/>
  <c r="AV337" i="8"/>
  <c r="AV338" i="8"/>
  <c r="AV339" i="8"/>
  <c r="AV340" i="8"/>
  <c r="AV341" i="8"/>
  <c r="AV342" i="8"/>
  <c r="AV343" i="8"/>
  <c r="AV344" i="8"/>
  <c r="AV345" i="8"/>
  <c r="AV346" i="8"/>
  <c r="AV347" i="8"/>
  <c r="AV348" i="8"/>
  <c r="AV349" i="8"/>
  <c r="AV350" i="8"/>
  <c r="AV351" i="8"/>
  <c r="AV352" i="8"/>
  <c r="AV353" i="8"/>
  <c r="AV354" i="8"/>
  <c r="AV355" i="8"/>
  <c r="AV356" i="8"/>
  <c r="AV357" i="8"/>
  <c r="AV358" i="8"/>
  <c r="AV359" i="8"/>
  <c r="AV360" i="8"/>
  <c r="AV361" i="8"/>
  <c r="AV362" i="8"/>
  <c r="AV363" i="8"/>
  <c r="AV364" i="8"/>
  <c r="AV365" i="8"/>
  <c r="AV366" i="8"/>
  <c r="AV367" i="8"/>
  <c r="AV368" i="8"/>
  <c r="AV369" i="8"/>
  <c r="AV370" i="8"/>
  <c r="AV371" i="8"/>
  <c r="AV372" i="8"/>
  <c r="AV373" i="8"/>
  <c r="AV374" i="8"/>
  <c r="AV375" i="8"/>
  <c r="AV376" i="8"/>
  <c r="AV377" i="8"/>
  <c r="AV378" i="8"/>
  <c r="AV379" i="8"/>
  <c r="AV380"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W60" i="8"/>
  <c r="AW61" i="8"/>
  <c r="AW62" i="8"/>
  <c r="AW63" i="8"/>
  <c r="AW64" i="8"/>
  <c r="AW65" i="8"/>
  <c r="AW66" i="8"/>
  <c r="AW67" i="8"/>
  <c r="AW68" i="8"/>
  <c r="AW69" i="8"/>
  <c r="AW70" i="8"/>
  <c r="AW71" i="8"/>
  <c r="AW72" i="8"/>
  <c r="AW73" i="8"/>
  <c r="AW74" i="8"/>
  <c r="AW75" i="8"/>
  <c r="AW76" i="8"/>
  <c r="AW77" i="8"/>
  <c r="AW78" i="8"/>
  <c r="AW79" i="8"/>
  <c r="AW80" i="8"/>
  <c r="AW81" i="8"/>
  <c r="AW82" i="8"/>
  <c r="AW83" i="8"/>
  <c r="AW84" i="8"/>
  <c r="AW85" i="8"/>
  <c r="AW86" i="8"/>
  <c r="AW87" i="8"/>
  <c r="AW88" i="8"/>
  <c r="AW89" i="8"/>
  <c r="AW90" i="8"/>
  <c r="AW91" i="8"/>
  <c r="AW92" i="8"/>
  <c r="AW93" i="8"/>
  <c r="AW94" i="8"/>
  <c r="AW95" i="8"/>
  <c r="AW96" i="8"/>
  <c r="AW97" i="8"/>
  <c r="AW98" i="8"/>
  <c r="AW99" i="8"/>
  <c r="AW100" i="8"/>
  <c r="AW101" i="8"/>
  <c r="AW102" i="8"/>
  <c r="AW103" i="8"/>
  <c r="AW104" i="8"/>
  <c r="AW105" i="8"/>
  <c r="AW106" i="8"/>
  <c r="AW107" i="8"/>
  <c r="AW108" i="8"/>
  <c r="AW109" i="8"/>
  <c r="AW110" i="8"/>
  <c r="AW111" i="8"/>
  <c r="AW112" i="8"/>
  <c r="AW113" i="8"/>
  <c r="AW114" i="8"/>
  <c r="AW115" i="8"/>
  <c r="AW116" i="8"/>
  <c r="AW117" i="8"/>
  <c r="AW118" i="8"/>
  <c r="AW119" i="8"/>
  <c r="AW120" i="8"/>
  <c r="AW121" i="8"/>
  <c r="AW122" i="8"/>
  <c r="AW123" i="8"/>
  <c r="AW124" i="8"/>
  <c r="AW125" i="8"/>
  <c r="AW126" i="8"/>
  <c r="AW127" i="8"/>
  <c r="AW128" i="8"/>
  <c r="AW129" i="8"/>
  <c r="AW130" i="8"/>
  <c r="AW131" i="8"/>
  <c r="AW132" i="8"/>
  <c r="AW133" i="8"/>
  <c r="AW134" i="8"/>
  <c r="AW135" i="8"/>
  <c r="AW136" i="8"/>
  <c r="AW137" i="8"/>
  <c r="AW138" i="8"/>
  <c r="AW139" i="8"/>
  <c r="AW140" i="8"/>
  <c r="AW141" i="8"/>
  <c r="AW142" i="8"/>
  <c r="AW143" i="8"/>
  <c r="AW144" i="8"/>
  <c r="AW145" i="8"/>
  <c r="AW146" i="8"/>
  <c r="AW147" i="8"/>
  <c r="AW148" i="8"/>
  <c r="AW149" i="8"/>
  <c r="AW150" i="8"/>
  <c r="AW151" i="8"/>
  <c r="AW152" i="8"/>
  <c r="AW153" i="8"/>
  <c r="AW154" i="8"/>
  <c r="AW155" i="8"/>
  <c r="AW156" i="8"/>
  <c r="AW157" i="8"/>
  <c r="AW158" i="8"/>
  <c r="AW159" i="8"/>
  <c r="AW160" i="8"/>
  <c r="AW161" i="8"/>
  <c r="AW162" i="8"/>
  <c r="AW163" i="8"/>
  <c r="AW164" i="8"/>
  <c r="AW165" i="8"/>
  <c r="AW166" i="8"/>
  <c r="AW167" i="8"/>
  <c r="AW168" i="8"/>
  <c r="AW169" i="8"/>
  <c r="AW170" i="8"/>
  <c r="AW171" i="8"/>
  <c r="AW172" i="8"/>
  <c r="AW173" i="8"/>
  <c r="AW174" i="8"/>
  <c r="AW175" i="8"/>
  <c r="AW176" i="8"/>
  <c r="AW177" i="8"/>
  <c r="AW178" i="8"/>
  <c r="AW179" i="8"/>
  <c r="AW180" i="8"/>
  <c r="AW181" i="8"/>
  <c r="AW182" i="8"/>
  <c r="AW183" i="8"/>
  <c r="AW184" i="8"/>
  <c r="AW185" i="8"/>
  <c r="AW186" i="8"/>
  <c r="AW187" i="8"/>
  <c r="AW188" i="8"/>
  <c r="AW189" i="8"/>
  <c r="AW190" i="8"/>
  <c r="AW191" i="8"/>
  <c r="AW192" i="8"/>
  <c r="AW193" i="8"/>
  <c r="AW194" i="8"/>
  <c r="AW195" i="8"/>
  <c r="AW196" i="8"/>
  <c r="AW197" i="8"/>
  <c r="AW198" i="8"/>
  <c r="AW199" i="8"/>
  <c r="AW200" i="8"/>
  <c r="AW201" i="8"/>
  <c r="AW202" i="8"/>
  <c r="AW203" i="8"/>
  <c r="AW204" i="8"/>
  <c r="AW205" i="8"/>
  <c r="AW206" i="8"/>
  <c r="AW207" i="8"/>
  <c r="AW208" i="8"/>
  <c r="AW209" i="8"/>
  <c r="AW210" i="8"/>
  <c r="AW211" i="8"/>
  <c r="AW212" i="8"/>
  <c r="AW213" i="8"/>
  <c r="AW214" i="8"/>
  <c r="AW215" i="8"/>
  <c r="AW216" i="8"/>
  <c r="AW217" i="8"/>
  <c r="AW218" i="8"/>
  <c r="AW219" i="8"/>
  <c r="AW220" i="8"/>
  <c r="AW221" i="8"/>
  <c r="AW222" i="8"/>
  <c r="AW223" i="8"/>
  <c r="AW224" i="8"/>
  <c r="AW225" i="8"/>
  <c r="AW226" i="8"/>
  <c r="AW227" i="8"/>
  <c r="AW228" i="8"/>
  <c r="AW229" i="8"/>
  <c r="AW230" i="8"/>
  <c r="AW231" i="8"/>
  <c r="AW232" i="8"/>
  <c r="AW233" i="8"/>
  <c r="AW234" i="8"/>
  <c r="AW235" i="8"/>
  <c r="AW236" i="8"/>
  <c r="AW237" i="8"/>
  <c r="AW238" i="8"/>
  <c r="AW239" i="8"/>
  <c r="AW240" i="8"/>
  <c r="AW241" i="8"/>
  <c r="AW242" i="8"/>
  <c r="AW243" i="8"/>
  <c r="AW244" i="8"/>
  <c r="AW245" i="8"/>
  <c r="AW246" i="8"/>
  <c r="AW247" i="8"/>
  <c r="AW248" i="8"/>
  <c r="AW249" i="8"/>
  <c r="AW250" i="8"/>
  <c r="AW251" i="8"/>
  <c r="AW252" i="8"/>
  <c r="AW253" i="8"/>
  <c r="AW254" i="8"/>
  <c r="AW255" i="8"/>
  <c r="AW256" i="8"/>
  <c r="AW257" i="8"/>
  <c r="AW258" i="8"/>
  <c r="AW259" i="8"/>
  <c r="AW260" i="8"/>
  <c r="AW261" i="8"/>
  <c r="AW262" i="8"/>
  <c r="AW263" i="8"/>
  <c r="AW264" i="8"/>
  <c r="AW265" i="8"/>
  <c r="AW266" i="8"/>
  <c r="AW267" i="8"/>
  <c r="AW268" i="8"/>
  <c r="AW269" i="8"/>
  <c r="AW270" i="8"/>
  <c r="AW271" i="8"/>
  <c r="AW272" i="8"/>
  <c r="AW273" i="8"/>
  <c r="AW274" i="8"/>
  <c r="AW275" i="8"/>
  <c r="AW276" i="8"/>
  <c r="AW277" i="8"/>
  <c r="AW278" i="8"/>
  <c r="AW279" i="8"/>
  <c r="AW280" i="8"/>
  <c r="AW281" i="8"/>
  <c r="AW282" i="8"/>
  <c r="AW283" i="8"/>
  <c r="AW284" i="8"/>
  <c r="AW285" i="8"/>
  <c r="AW286" i="8"/>
  <c r="AW287" i="8"/>
  <c r="AW288" i="8"/>
  <c r="AW289" i="8"/>
  <c r="AW290" i="8"/>
  <c r="AW291" i="8"/>
  <c r="AW292" i="8"/>
  <c r="AW293" i="8"/>
  <c r="AW294" i="8"/>
  <c r="AW295" i="8"/>
  <c r="AW296" i="8"/>
  <c r="AW297" i="8"/>
  <c r="AW298" i="8"/>
  <c r="AW299" i="8"/>
  <c r="AW300" i="8"/>
  <c r="AW301" i="8"/>
  <c r="AW302" i="8"/>
  <c r="AW303" i="8"/>
  <c r="AW304" i="8"/>
  <c r="AW305" i="8"/>
  <c r="AW306" i="8"/>
  <c r="AW307" i="8"/>
  <c r="AW308" i="8"/>
  <c r="AW309" i="8"/>
  <c r="AW310" i="8"/>
  <c r="AW311" i="8"/>
  <c r="AW312" i="8"/>
  <c r="AW313" i="8"/>
  <c r="AW314" i="8"/>
  <c r="AW315" i="8"/>
  <c r="AW316" i="8"/>
  <c r="AW317" i="8"/>
  <c r="AW318" i="8"/>
  <c r="AW319" i="8"/>
  <c r="AW320" i="8"/>
  <c r="AW321" i="8"/>
  <c r="AW322" i="8"/>
  <c r="AW323" i="8"/>
  <c r="AW324" i="8"/>
  <c r="AW325" i="8"/>
  <c r="AW326" i="8"/>
  <c r="AW327" i="8"/>
  <c r="AW328" i="8"/>
  <c r="AW329" i="8"/>
  <c r="AW330" i="8"/>
  <c r="AW331" i="8"/>
  <c r="AW332" i="8"/>
  <c r="AW333" i="8"/>
  <c r="AW334" i="8"/>
  <c r="AW335" i="8"/>
  <c r="AW336" i="8"/>
  <c r="AW337" i="8"/>
  <c r="AW338" i="8"/>
  <c r="AW339" i="8"/>
  <c r="AW340" i="8"/>
  <c r="AW341" i="8"/>
  <c r="AW342" i="8"/>
  <c r="AW343" i="8"/>
  <c r="AW344" i="8"/>
  <c r="AW345" i="8"/>
  <c r="AW346" i="8"/>
  <c r="AW347" i="8"/>
  <c r="AW348" i="8"/>
  <c r="AW349" i="8"/>
  <c r="AW350" i="8"/>
  <c r="AW351" i="8"/>
  <c r="AW352" i="8"/>
  <c r="AW353" i="8"/>
  <c r="AW354" i="8"/>
  <c r="AW355" i="8"/>
  <c r="AW356" i="8"/>
  <c r="AW357" i="8"/>
  <c r="AW358" i="8"/>
  <c r="AW359" i="8"/>
  <c r="AW360" i="8"/>
  <c r="AW361" i="8"/>
  <c r="AW362" i="8"/>
  <c r="AW363" i="8"/>
  <c r="AW364" i="8"/>
  <c r="AW365" i="8"/>
  <c r="AW366" i="8"/>
  <c r="AW367" i="8"/>
  <c r="AW368" i="8"/>
  <c r="AW369" i="8"/>
  <c r="AW370" i="8"/>
  <c r="AW371" i="8"/>
  <c r="AW372" i="8"/>
  <c r="AW373" i="8"/>
  <c r="AW374" i="8"/>
  <c r="AW375" i="8"/>
  <c r="AW376" i="8"/>
  <c r="AW377" i="8"/>
  <c r="AW378" i="8"/>
  <c r="AW379" i="8"/>
  <c r="AW380"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120" i="8"/>
  <c r="AX121" i="8"/>
  <c r="AX122" i="8"/>
  <c r="AX123" i="8"/>
  <c r="AX124" i="8"/>
  <c r="AX125" i="8"/>
  <c r="AX126" i="8"/>
  <c r="AX127" i="8"/>
  <c r="AX128" i="8"/>
  <c r="AX129" i="8"/>
  <c r="AX130" i="8"/>
  <c r="AX131" i="8"/>
  <c r="AX132" i="8"/>
  <c r="AX133" i="8"/>
  <c r="AX134" i="8"/>
  <c r="AX135" i="8"/>
  <c r="AX136" i="8"/>
  <c r="AX137" i="8"/>
  <c r="AX138" i="8"/>
  <c r="AX139" i="8"/>
  <c r="AX140" i="8"/>
  <c r="AX141" i="8"/>
  <c r="AX142" i="8"/>
  <c r="AX143" i="8"/>
  <c r="AX144" i="8"/>
  <c r="AX145" i="8"/>
  <c r="AX146" i="8"/>
  <c r="AX147" i="8"/>
  <c r="AX148" i="8"/>
  <c r="AX149" i="8"/>
  <c r="AX150" i="8"/>
  <c r="AX151" i="8"/>
  <c r="AX152" i="8"/>
  <c r="AX153" i="8"/>
  <c r="AX154" i="8"/>
  <c r="AX155" i="8"/>
  <c r="AX156" i="8"/>
  <c r="AX157" i="8"/>
  <c r="AX158" i="8"/>
  <c r="AX159" i="8"/>
  <c r="AX160" i="8"/>
  <c r="AX161" i="8"/>
  <c r="AX162" i="8"/>
  <c r="AX163" i="8"/>
  <c r="AX164" i="8"/>
  <c r="AX165" i="8"/>
  <c r="AX166" i="8"/>
  <c r="AX167" i="8"/>
  <c r="AX168" i="8"/>
  <c r="AX169" i="8"/>
  <c r="AX170" i="8"/>
  <c r="AX171" i="8"/>
  <c r="AX172" i="8"/>
  <c r="AX173" i="8"/>
  <c r="AX174" i="8"/>
  <c r="AX175" i="8"/>
  <c r="AX176" i="8"/>
  <c r="AX177" i="8"/>
  <c r="AX178" i="8"/>
  <c r="AX179" i="8"/>
  <c r="AX180" i="8"/>
  <c r="AX181" i="8"/>
  <c r="AX182" i="8"/>
  <c r="AX183" i="8"/>
  <c r="AX184" i="8"/>
  <c r="AX185" i="8"/>
  <c r="AX186" i="8"/>
  <c r="AX187" i="8"/>
  <c r="AX188" i="8"/>
  <c r="AX189" i="8"/>
  <c r="AX190" i="8"/>
  <c r="AX191" i="8"/>
  <c r="AX192" i="8"/>
  <c r="AX193" i="8"/>
  <c r="AX194" i="8"/>
  <c r="AX195" i="8"/>
  <c r="AX196" i="8"/>
  <c r="AX197" i="8"/>
  <c r="AX198" i="8"/>
  <c r="AX199" i="8"/>
  <c r="AX200" i="8"/>
  <c r="AX201" i="8"/>
  <c r="AX202" i="8"/>
  <c r="AX203" i="8"/>
  <c r="AX204" i="8"/>
  <c r="AX205" i="8"/>
  <c r="AX206" i="8"/>
  <c r="AX207" i="8"/>
  <c r="AX208" i="8"/>
  <c r="AX209" i="8"/>
  <c r="AX210" i="8"/>
  <c r="AX211" i="8"/>
  <c r="AX212" i="8"/>
  <c r="AX213" i="8"/>
  <c r="AX214" i="8"/>
  <c r="AX215" i="8"/>
  <c r="AX216" i="8"/>
  <c r="AX217" i="8"/>
  <c r="AX218" i="8"/>
  <c r="AX219" i="8"/>
  <c r="AX220" i="8"/>
  <c r="AX221" i="8"/>
  <c r="AX222" i="8"/>
  <c r="AX223" i="8"/>
  <c r="AX224" i="8"/>
  <c r="AX225" i="8"/>
  <c r="AX226" i="8"/>
  <c r="AX227" i="8"/>
  <c r="AX228" i="8"/>
  <c r="AX229" i="8"/>
  <c r="AX230" i="8"/>
  <c r="AX231" i="8"/>
  <c r="AX232" i="8"/>
  <c r="AX233" i="8"/>
  <c r="AX234" i="8"/>
  <c r="AX235" i="8"/>
  <c r="AX236" i="8"/>
  <c r="AX237" i="8"/>
  <c r="AX238" i="8"/>
  <c r="AX239" i="8"/>
  <c r="AX240" i="8"/>
  <c r="AX241" i="8"/>
  <c r="AX242" i="8"/>
  <c r="AX243" i="8"/>
  <c r="AX244" i="8"/>
  <c r="AX245" i="8"/>
  <c r="AX246" i="8"/>
  <c r="AX247" i="8"/>
  <c r="AX248" i="8"/>
  <c r="AX249" i="8"/>
  <c r="AX250" i="8"/>
  <c r="AX251" i="8"/>
  <c r="AX252" i="8"/>
  <c r="AX253" i="8"/>
  <c r="AX254" i="8"/>
  <c r="AX255" i="8"/>
  <c r="AX256" i="8"/>
  <c r="AX257" i="8"/>
  <c r="AX258" i="8"/>
  <c r="AX259" i="8"/>
  <c r="AX260" i="8"/>
  <c r="AX261" i="8"/>
  <c r="AX262" i="8"/>
  <c r="AX263" i="8"/>
  <c r="AX264" i="8"/>
  <c r="AX265" i="8"/>
  <c r="AX266" i="8"/>
  <c r="AX267" i="8"/>
  <c r="AX268" i="8"/>
  <c r="AX269" i="8"/>
  <c r="AX270" i="8"/>
  <c r="AX271" i="8"/>
  <c r="AX272" i="8"/>
  <c r="AX273" i="8"/>
  <c r="AX274" i="8"/>
  <c r="AX275" i="8"/>
  <c r="AX276" i="8"/>
  <c r="AX277" i="8"/>
  <c r="AX278" i="8"/>
  <c r="AX279" i="8"/>
  <c r="AX280" i="8"/>
  <c r="AX281" i="8"/>
  <c r="AX282" i="8"/>
  <c r="AX283" i="8"/>
  <c r="AX284" i="8"/>
  <c r="AX285" i="8"/>
  <c r="AX286" i="8"/>
  <c r="AX287" i="8"/>
  <c r="AX288" i="8"/>
  <c r="AX289" i="8"/>
  <c r="AX290" i="8"/>
  <c r="AX291" i="8"/>
  <c r="AX292" i="8"/>
  <c r="AX293" i="8"/>
  <c r="AX294" i="8"/>
  <c r="AX295" i="8"/>
  <c r="AX296" i="8"/>
  <c r="AX297" i="8"/>
  <c r="AX298" i="8"/>
  <c r="AX299" i="8"/>
  <c r="AX300" i="8"/>
  <c r="AX301" i="8"/>
  <c r="AX302" i="8"/>
  <c r="AX303" i="8"/>
  <c r="AX304" i="8"/>
  <c r="AX305" i="8"/>
  <c r="AX306" i="8"/>
  <c r="AX307" i="8"/>
  <c r="AX308" i="8"/>
  <c r="AX309" i="8"/>
  <c r="AX310" i="8"/>
  <c r="AX311" i="8"/>
  <c r="AX312" i="8"/>
  <c r="AX313" i="8"/>
  <c r="AX314" i="8"/>
  <c r="AX315" i="8"/>
  <c r="AX316" i="8"/>
  <c r="AX317" i="8"/>
  <c r="AX318" i="8"/>
  <c r="AX319" i="8"/>
  <c r="AX320" i="8"/>
  <c r="AX321" i="8"/>
  <c r="AX322" i="8"/>
  <c r="AX323" i="8"/>
  <c r="AX324" i="8"/>
  <c r="AX325" i="8"/>
  <c r="AX326" i="8"/>
  <c r="AX327" i="8"/>
  <c r="AX328" i="8"/>
  <c r="AX329" i="8"/>
  <c r="AX330" i="8"/>
  <c r="AX331" i="8"/>
  <c r="AX332" i="8"/>
  <c r="AX333" i="8"/>
  <c r="AX334" i="8"/>
  <c r="AX335" i="8"/>
  <c r="AX336" i="8"/>
  <c r="AX337" i="8"/>
  <c r="AX338" i="8"/>
  <c r="AX339" i="8"/>
  <c r="AX340" i="8"/>
  <c r="AX341" i="8"/>
  <c r="AX342" i="8"/>
  <c r="AX343" i="8"/>
  <c r="AX344" i="8"/>
  <c r="AX345" i="8"/>
  <c r="AX346" i="8"/>
  <c r="AX347" i="8"/>
  <c r="AX348" i="8"/>
  <c r="AX349" i="8"/>
  <c r="AX350" i="8"/>
  <c r="AX351" i="8"/>
  <c r="AX352" i="8"/>
  <c r="AX353" i="8"/>
  <c r="AX354" i="8"/>
  <c r="AX355" i="8"/>
  <c r="AX356" i="8"/>
  <c r="AX357" i="8"/>
  <c r="AX358" i="8"/>
  <c r="AX359" i="8"/>
  <c r="AX360" i="8"/>
  <c r="AX361" i="8"/>
  <c r="AX362" i="8"/>
  <c r="AX363" i="8"/>
  <c r="AX364" i="8"/>
  <c r="AX365" i="8"/>
  <c r="AX366" i="8"/>
  <c r="AX367" i="8"/>
  <c r="AX368" i="8"/>
  <c r="AX369" i="8"/>
  <c r="AX370" i="8"/>
  <c r="AX371" i="8"/>
  <c r="AX372" i="8"/>
  <c r="AX373" i="8"/>
  <c r="AX374" i="8"/>
  <c r="AX375" i="8"/>
  <c r="AX376" i="8"/>
  <c r="AX377" i="8"/>
  <c r="AX378" i="8"/>
  <c r="AX379" i="8"/>
  <c r="AX380"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Y164" i="8"/>
  <c r="AY165" i="8"/>
  <c r="AY166" i="8"/>
  <c r="AY167" i="8"/>
  <c r="AY168" i="8"/>
  <c r="AY169" i="8"/>
  <c r="AY170" i="8"/>
  <c r="AY171" i="8"/>
  <c r="AY172" i="8"/>
  <c r="AY173" i="8"/>
  <c r="AY174" i="8"/>
  <c r="AY175" i="8"/>
  <c r="AY176" i="8"/>
  <c r="AY177" i="8"/>
  <c r="AY178" i="8"/>
  <c r="AY179" i="8"/>
  <c r="AY180" i="8"/>
  <c r="AY181" i="8"/>
  <c r="AY182" i="8"/>
  <c r="AY183" i="8"/>
  <c r="AY184" i="8"/>
  <c r="AY185" i="8"/>
  <c r="AY186" i="8"/>
  <c r="AY187" i="8"/>
  <c r="AY188" i="8"/>
  <c r="AY189" i="8"/>
  <c r="AY190" i="8"/>
  <c r="AY191" i="8"/>
  <c r="AY192" i="8"/>
  <c r="AY193" i="8"/>
  <c r="AY194" i="8"/>
  <c r="AY195" i="8"/>
  <c r="AY196" i="8"/>
  <c r="AY197" i="8"/>
  <c r="AY198" i="8"/>
  <c r="AY199" i="8"/>
  <c r="AY200" i="8"/>
  <c r="AY201" i="8"/>
  <c r="AY202" i="8"/>
  <c r="AY203" i="8"/>
  <c r="AY204" i="8"/>
  <c r="AY205" i="8"/>
  <c r="AY206" i="8"/>
  <c r="AY207" i="8"/>
  <c r="AY208" i="8"/>
  <c r="AY209" i="8"/>
  <c r="AY210" i="8"/>
  <c r="AY211" i="8"/>
  <c r="AY212" i="8"/>
  <c r="AY213" i="8"/>
  <c r="AY214" i="8"/>
  <c r="AY215" i="8"/>
  <c r="AY216" i="8"/>
  <c r="AY217" i="8"/>
  <c r="AY218" i="8"/>
  <c r="AY219" i="8"/>
  <c r="AY220" i="8"/>
  <c r="AY221" i="8"/>
  <c r="AY222" i="8"/>
  <c r="AY223" i="8"/>
  <c r="AY224" i="8"/>
  <c r="AY225" i="8"/>
  <c r="AY226" i="8"/>
  <c r="AY227" i="8"/>
  <c r="AY228" i="8"/>
  <c r="AY229" i="8"/>
  <c r="AY230" i="8"/>
  <c r="AY231" i="8"/>
  <c r="AY232" i="8"/>
  <c r="AY233" i="8"/>
  <c r="AY234" i="8"/>
  <c r="AY235" i="8"/>
  <c r="AY236" i="8"/>
  <c r="AY237" i="8"/>
  <c r="AY238" i="8"/>
  <c r="AY239" i="8"/>
  <c r="AY240" i="8"/>
  <c r="AY241" i="8"/>
  <c r="AY242" i="8"/>
  <c r="AY243" i="8"/>
  <c r="AY244" i="8"/>
  <c r="AY245" i="8"/>
  <c r="AY246" i="8"/>
  <c r="AY247" i="8"/>
  <c r="AY248" i="8"/>
  <c r="AY249" i="8"/>
  <c r="AY250" i="8"/>
  <c r="AY251" i="8"/>
  <c r="AY252" i="8"/>
  <c r="AY253" i="8"/>
  <c r="AY254" i="8"/>
  <c r="AY255" i="8"/>
  <c r="AY256" i="8"/>
  <c r="AY257" i="8"/>
  <c r="AY258" i="8"/>
  <c r="AY259" i="8"/>
  <c r="AY260" i="8"/>
  <c r="AY261" i="8"/>
  <c r="AY262" i="8"/>
  <c r="AY263" i="8"/>
  <c r="AY264" i="8"/>
  <c r="AY265" i="8"/>
  <c r="AY266" i="8"/>
  <c r="AY267" i="8"/>
  <c r="AY268" i="8"/>
  <c r="AY269" i="8"/>
  <c r="AY270" i="8"/>
  <c r="AY271" i="8"/>
  <c r="AY272" i="8"/>
  <c r="AY273" i="8"/>
  <c r="AY274" i="8"/>
  <c r="AY275" i="8"/>
  <c r="AY276" i="8"/>
  <c r="AY277" i="8"/>
  <c r="AY278" i="8"/>
  <c r="AY279" i="8"/>
  <c r="AY280" i="8"/>
  <c r="AY281" i="8"/>
  <c r="AY282" i="8"/>
  <c r="AY283" i="8"/>
  <c r="AY284" i="8"/>
  <c r="AY285" i="8"/>
  <c r="AY286" i="8"/>
  <c r="AY287" i="8"/>
  <c r="AY288" i="8"/>
  <c r="AY289" i="8"/>
  <c r="AY290" i="8"/>
  <c r="AY291" i="8"/>
  <c r="AY292" i="8"/>
  <c r="AY293" i="8"/>
  <c r="AY294" i="8"/>
  <c r="AY295" i="8"/>
  <c r="AY296" i="8"/>
  <c r="AY297" i="8"/>
  <c r="AY298" i="8"/>
  <c r="AY299" i="8"/>
  <c r="AY300" i="8"/>
  <c r="AY301" i="8"/>
  <c r="AY302" i="8"/>
  <c r="AY303" i="8"/>
  <c r="AY304" i="8"/>
  <c r="AY305" i="8"/>
  <c r="AY306" i="8"/>
  <c r="AY307" i="8"/>
  <c r="AY308" i="8"/>
  <c r="AY309" i="8"/>
  <c r="AY310" i="8"/>
  <c r="AY311" i="8"/>
  <c r="AY312" i="8"/>
  <c r="AY313" i="8"/>
  <c r="AY314" i="8"/>
  <c r="AY315" i="8"/>
  <c r="AY316" i="8"/>
  <c r="AY317" i="8"/>
  <c r="AY318" i="8"/>
  <c r="AY319" i="8"/>
  <c r="AY320" i="8"/>
  <c r="AY321" i="8"/>
  <c r="AY322" i="8"/>
  <c r="AY323" i="8"/>
  <c r="AY324" i="8"/>
  <c r="AY325" i="8"/>
  <c r="AY326" i="8"/>
  <c r="AY327" i="8"/>
  <c r="AY328" i="8"/>
  <c r="AY329" i="8"/>
  <c r="AY330" i="8"/>
  <c r="AY331" i="8"/>
  <c r="AY332" i="8"/>
  <c r="AY333" i="8"/>
  <c r="AY334" i="8"/>
  <c r="AY335" i="8"/>
  <c r="AY336" i="8"/>
  <c r="AY337" i="8"/>
  <c r="AY338" i="8"/>
  <c r="AY339" i="8"/>
  <c r="AY340" i="8"/>
  <c r="AY341" i="8"/>
  <c r="AY342" i="8"/>
  <c r="AY343" i="8"/>
  <c r="AY344" i="8"/>
  <c r="AY345" i="8"/>
  <c r="AY346" i="8"/>
  <c r="AY347" i="8"/>
  <c r="AY348" i="8"/>
  <c r="AY349" i="8"/>
  <c r="AY350" i="8"/>
  <c r="AY351" i="8"/>
  <c r="AY352" i="8"/>
  <c r="AY353" i="8"/>
  <c r="AY354" i="8"/>
  <c r="AY355" i="8"/>
  <c r="AY356" i="8"/>
  <c r="AY357" i="8"/>
  <c r="AY358" i="8"/>
  <c r="AY359" i="8"/>
  <c r="AY360" i="8"/>
  <c r="AY361" i="8"/>
  <c r="AY362" i="8"/>
  <c r="AY363" i="8"/>
  <c r="AY364" i="8"/>
  <c r="AY365" i="8"/>
  <c r="AY366" i="8"/>
  <c r="AY367" i="8"/>
  <c r="AY368" i="8"/>
  <c r="AY369" i="8"/>
  <c r="AY370" i="8"/>
  <c r="AY371" i="8"/>
  <c r="AY372" i="8"/>
  <c r="AY373" i="8"/>
  <c r="AY374" i="8"/>
  <c r="AY375" i="8"/>
  <c r="AY376" i="8"/>
  <c r="AY377" i="8"/>
  <c r="AY378" i="8"/>
  <c r="AY379" i="8"/>
  <c r="AY380"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AZ60" i="8"/>
  <c r="AZ61" i="8"/>
  <c r="AZ62" i="8"/>
  <c r="AZ63" i="8"/>
  <c r="AZ64" i="8"/>
  <c r="AZ65" i="8"/>
  <c r="AZ66" i="8"/>
  <c r="AZ67" i="8"/>
  <c r="AZ68" i="8"/>
  <c r="AZ69" i="8"/>
  <c r="AZ70" i="8"/>
  <c r="AZ71" i="8"/>
  <c r="AZ72" i="8"/>
  <c r="AZ73" i="8"/>
  <c r="AZ74" i="8"/>
  <c r="AZ75" i="8"/>
  <c r="AZ76" i="8"/>
  <c r="AZ77" i="8"/>
  <c r="AZ78" i="8"/>
  <c r="AZ79" i="8"/>
  <c r="AZ80" i="8"/>
  <c r="AZ81" i="8"/>
  <c r="AZ82" i="8"/>
  <c r="AZ83" i="8"/>
  <c r="AZ84" i="8"/>
  <c r="AZ85" i="8"/>
  <c r="AZ86" i="8"/>
  <c r="AZ87" i="8"/>
  <c r="AZ88" i="8"/>
  <c r="AZ89" i="8"/>
  <c r="AZ90" i="8"/>
  <c r="AZ91" i="8"/>
  <c r="AZ92" i="8"/>
  <c r="AZ93" i="8"/>
  <c r="AZ94" i="8"/>
  <c r="AZ95" i="8"/>
  <c r="AZ96" i="8"/>
  <c r="AZ97" i="8"/>
  <c r="AZ98" i="8"/>
  <c r="AZ99" i="8"/>
  <c r="AZ100" i="8"/>
  <c r="AZ101" i="8"/>
  <c r="AZ102" i="8"/>
  <c r="AZ103" i="8"/>
  <c r="AZ104" i="8"/>
  <c r="AZ105" i="8"/>
  <c r="AZ106" i="8"/>
  <c r="AZ107" i="8"/>
  <c r="AZ108" i="8"/>
  <c r="AZ109" i="8"/>
  <c r="AZ110" i="8"/>
  <c r="AZ111" i="8"/>
  <c r="AZ112" i="8"/>
  <c r="AZ113" i="8"/>
  <c r="AZ114" i="8"/>
  <c r="AZ115" i="8"/>
  <c r="AZ116" i="8"/>
  <c r="AZ117" i="8"/>
  <c r="AZ118" i="8"/>
  <c r="AZ119" i="8"/>
  <c r="AZ120" i="8"/>
  <c r="AZ121" i="8"/>
  <c r="AZ122" i="8"/>
  <c r="AZ123" i="8"/>
  <c r="AZ124" i="8"/>
  <c r="AZ125" i="8"/>
  <c r="AZ126" i="8"/>
  <c r="AZ127" i="8"/>
  <c r="AZ128" i="8"/>
  <c r="AZ129" i="8"/>
  <c r="AZ130" i="8"/>
  <c r="AZ131" i="8"/>
  <c r="AZ132" i="8"/>
  <c r="AZ133" i="8"/>
  <c r="AZ134" i="8"/>
  <c r="AZ135" i="8"/>
  <c r="AZ136" i="8"/>
  <c r="AZ137" i="8"/>
  <c r="AZ138" i="8"/>
  <c r="AZ139" i="8"/>
  <c r="AZ140" i="8"/>
  <c r="AZ141" i="8"/>
  <c r="AZ142" i="8"/>
  <c r="AZ143" i="8"/>
  <c r="AZ144" i="8"/>
  <c r="AZ145" i="8"/>
  <c r="AZ146" i="8"/>
  <c r="AZ147" i="8"/>
  <c r="AZ148" i="8"/>
  <c r="AZ149" i="8"/>
  <c r="AZ150" i="8"/>
  <c r="AZ151" i="8"/>
  <c r="AZ152" i="8"/>
  <c r="AZ153" i="8"/>
  <c r="AZ154" i="8"/>
  <c r="AZ155" i="8"/>
  <c r="AZ156" i="8"/>
  <c r="AZ157" i="8"/>
  <c r="AZ158" i="8"/>
  <c r="AZ159" i="8"/>
  <c r="AZ160" i="8"/>
  <c r="AZ161" i="8"/>
  <c r="AZ162" i="8"/>
  <c r="AZ163" i="8"/>
  <c r="AZ164" i="8"/>
  <c r="AZ165" i="8"/>
  <c r="AZ166" i="8"/>
  <c r="AZ167" i="8"/>
  <c r="AZ168" i="8"/>
  <c r="AZ169" i="8"/>
  <c r="AZ170" i="8"/>
  <c r="AZ171" i="8"/>
  <c r="AZ172" i="8"/>
  <c r="AZ173" i="8"/>
  <c r="AZ174" i="8"/>
  <c r="AZ175" i="8"/>
  <c r="AZ176" i="8"/>
  <c r="AZ177" i="8"/>
  <c r="AZ178" i="8"/>
  <c r="AZ179" i="8"/>
  <c r="AZ180" i="8"/>
  <c r="AZ181" i="8"/>
  <c r="AZ182" i="8"/>
  <c r="AZ183" i="8"/>
  <c r="AZ184" i="8"/>
  <c r="AZ185" i="8"/>
  <c r="AZ186" i="8"/>
  <c r="AZ187" i="8"/>
  <c r="AZ188" i="8"/>
  <c r="AZ189" i="8"/>
  <c r="AZ190" i="8"/>
  <c r="AZ191" i="8"/>
  <c r="AZ192" i="8"/>
  <c r="AZ193" i="8"/>
  <c r="AZ194" i="8"/>
  <c r="AZ195" i="8"/>
  <c r="AZ196" i="8"/>
  <c r="AZ197" i="8"/>
  <c r="AZ198" i="8"/>
  <c r="AZ199" i="8"/>
  <c r="AZ200" i="8"/>
  <c r="AZ201" i="8"/>
  <c r="AZ202" i="8"/>
  <c r="AZ203" i="8"/>
  <c r="AZ204" i="8"/>
  <c r="AZ205" i="8"/>
  <c r="AZ206" i="8"/>
  <c r="AZ207" i="8"/>
  <c r="AZ208" i="8"/>
  <c r="AZ209" i="8"/>
  <c r="AZ210" i="8"/>
  <c r="AZ211" i="8"/>
  <c r="AZ212" i="8"/>
  <c r="AZ213" i="8"/>
  <c r="AZ214" i="8"/>
  <c r="AZ215" i="8"/>
  <c r="AZ216" i="8"/>
  <c r="AZ217" i="8"/>
  <c r="AZ218" i="8"/>
  <c r="AZ219" i="8"/>
  <c r="AZ220" i="8"/>
  <c r="AZ221" i="8"/>
  <c r="AZ222" i="8"/>
  <c r="AZ223" i="8"/>
  <c r="AZ224" i="8"/>
  <c r="AZ225" i="8"/>
  <c r="AZ226" i="8"/>
  <c r="AZ227" i="8"/>
  <c r="AZ228" i="8"/>
  <c r="AZ229" i="8"/>
  <c r="AZ230" i="8"/>
  <c r="AZ231" i="8"/>
  <c r="AZ232" i="8"/>
  <c r="AZ233" i="8"/>
  <c r="AZ234" i="8"/>
  <c r="AZ235" i="8"/>
  <c r="AZ236" i="8"/>
  <c r="AZ237" i="8"/>
  <c r="AZ238" i="8"/>
  <c r="AZ239" i="8"/>
  <c r="AZ240" i="8"/>
  <c r="AZ241" i="8"/>
  <c r="AZ242" i="8"/>
  <c r="AZ243" i="8"/>
  <c r="AZ244" i="8"/>
  <c r="AZ245" i="8"/>
  <c r="AZ246" i="8"/>
  <c r="AZ247" i="8"/>
  <c r="AZ248" i="8"/>
  <c r="AZ249" i="8"/>
  <c r="AZ250" i="8"/>
  <c r="AZ251" i="8"/>
  <c r="AZ252" i="8"/>
  <c r="AZ253" i="8"/>
  <c r="AZ254" i="8"/>
  <c r="AZ255" i="8"/>
  <c r="AZ256" i="8"/>
  <c r="AZ257" i="8"/>
  <c r="AZ258" i="8"/>
  <c r="AZ259" i="8"/>
  <c r="AZ260" i="8"/>
  <c r="AZ261" i="8"/>
  <c r="AZ262" i="8"/>
  <c r="AZ263" i="8"/>
  <c r="AZ264" i="8"/>
  <c r="AZ265" i="8"/>
  <c r="AZ266" i="8"/>
  <c r="AZ267" i="8"/>
  <c r="AZ268" i="8"/>
  <c r="AZ269" i="8"/>
  <c r="AZ270" i="8"/>
  <c r="AZ271" i="8"/>
  <c r="AZ272" i="8"/>
  <c r="AZ273" i="8"/>
  <c r="AZ274" i="8"/>
  <c r="AZ275" i="8"/>
  <c r="AZ276" i="8"/>
  <c r="AZ277" i="8"/>
  <c r="AZ278" i="8"/>
  <c r="AZ279" i="8"/>
  <c r="AZ280" i="8"/>
  <c r="AZ281" i="8"/>
  <c r="AZ282" i="8"/>
  <c r="AZ283" i="8"/>
  <c r="AZ284" i="8"/>
  <c r="AZ285" i="8"/>
  <c r="AZ286" i="8"/>
  <c r="AZ287" i="8"/>
  <c r="AZ288" i="8"/>
  <c r="AZ289" i="8"/>
  <c r="AZ290" i="8"/>
  <c r="AZ291" i="8"/>
  <c r="AZ292" i="8"/>
  <c r="AZ293" i="8"/>
  <c r="AZ294" i="8"/>
  <c r="AZ295" i="8"/>
  <c r="AZ296" i="8"/>
  <c r="AZ297" i="8"/>
  <c r="AZ298" i="8"/>
  <c r="AZ299" i="8"/>
  <c r="AZ300" i="8"/>
  <c r="AZ301" i="8"/>
  <c r="AZ302" i="8"/>
  <c r="AZ303" i="8"/>
  <c r="AZ304" i="8"/>
  <c r="AZ305" i="8"/>
  <c r="AZ306" i="8"/>
  <c r="AZ307" i="8"/>
  <c r="AZ308" i="8"/>
  <c r="AZ309" i="8"/>
  <c r="AZ310" i="8"/>
  <c r="AZ311" i="8"/>
  <c r="AZ312" i="8"/>
  <c r="AZ313" i="8"/>
  <c r="AZ314" i="8"/>
  <c r="AZ315" i="8"/>
  <c r="AZ316" i="8"/>
  <c r="AZ317" i="8"/>
  <c r="AZ318" i="8"/>
  <c r="AZ319" i="8"/>
  <c r="AZ320" i="8"/>
  <c r="AZ321" i="8"/>
  <c r="AZ322" i="8"/>
  <c r="AZ323" i="8"/>
  <c r="AZ324" i="8"/>
  <c r="AZ325" i="8"/>
  <c r="AZ326" i="8"/>
  <c r="AZ327" i="8"/>
  <c r="AZ328" i="8"/>
  <c r="AZ329" i="8"/>
  <c r="AZ330" i="8"/>
  <c r="AZ331" i="8"/>
  <c r="AZ332" i="8"/>
  <c r="AZ333" i="8"/>
  <c r="AZ334" i="8"/>
  <c r="AZ335" i="8"/>
  <c r="AZ336" i="8"/>
  <c r="AZ337" i="8"/>
  <c r="AZ338" i="8"/>
  <c r="AZ339" i="8"/>
  <c r="AZ340" i="8"/>
  <c r="AZ341" i="8"/>
  <c r="AZ342" i="8"/>
  <c r="AZ343" i="8"/>
  <c r="AZ344" i="8"/>
  <c r="AZ345" i="8"/>
  <c r="AZ346" i="8"/>
  <c r="AZ347" i="8"/>
  <c r="AZ348" i="8"/>
  <c r="AZ349" i="8"/>
  <c r="AZ350" i="8"/>
  <c r="AZ351" i="8"/>
  <c r="AZ352" i="8"/>
  <c r="AZ353" i="8"/>
  <c r="AZ354" i="8"/>
  <c r="AZ355" i="8"/>
  <c r="AZ356" i="8"/>
  <c r="AZ357" i="8"/>
  <c r="AZ358" i="8"/>
  <c r="AZ359" i="8"/>
  <c r="AZ360" i="8"/>
  <c r="AZ361" i="8"/>
  <c r="AZ362" i="8"/>
  <c r="AZ363" i="8"/>
  <c r="AZ364" i="8"/>
  <c r="AZ365" i="8"/>
  <c r="AZ366" i="8"/>
  <c r="AZ367" i="8"/>
  <c r="AZ368" i="8"/>
  <c r="AZ369" i="8"/>
  <c r="AZ370" i="8"/>
  <c r="AZ371" i="8"/>
  <c r="AZ372" i="8"/>
  <c r="AZ373" i="8"/>
  <c r="AZ374" i="8"/>
  <c r="AZ375" i="8"/>
  <c r="AZ376" i="8"/>
  <c r="AZ377" i="8"/>
  <c r="AZ378" i="8"/>
  <c r="AZ379" i="8"/>
  <c r="AZ380"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120" i="8"/>
  <c r="BA121" i="8"/>
  <c r="BA122" i="8"/>
  <c r="BA123" i="8"/>
  <c r="BA124" i="8"/>
  <c r="BA125" i="8"/>
  <c r="BA126" i="8"/>
  <c r="BA127" i="8"/>
  <c r="BA128" i="8"/>
  <c r="BA129" i="8"/>
  <c r="BA130" i="8"/>
  <c r="BA131" i="8"/>
  <c r="BA132" i="8"/>
  <c r="BA133" i="8"/>
  <c r="BA134" i="8"/>
  <c r="BA135" i="8"/>
  <c r="BA136" i="8"/>
  <c r="BA137" i="8"/>
  <c r="BA138" i="8"/>
  <c r="BA139" i="8"/>
  <c r="BA140" i="8"/>
  <c r="BA141" i="8"/>
  <c r="BA142" i="8"/>
  <c r="BA143" i="8"/>
  <c r="BA144" i="8"/>
  <c r="BA145" i="8"/>
  <c r="BA146" i="8"/>
  <c r="BA147" i="8"/>
  <c r="BA148" i="8"/>
  <c r="BA149" i="8"/>
  <c r="BA150" i="8"/>
  <c r="BA151" i="8"/>
  <c r="BA152" i="8"/>
  <c r="BA153" i="8"/>
  <c r="BA154" i="8"/>
  <c r="BA155" i="8"/>
  <c r="BA156" i="8"/>
  <c r="BA157" i="8"/>
  <c r="BA158" i="8"/>
  <c r="BA159" i="8"/>
  <c r="BA160" i="8"/>
  <c r="BA161" i="8"/>
  <c r="BA162" i="8"/>
  <c r="BA163" i="8"/>
  <c r="BA164" i="8"/>
  <c r="BA165" i="8"/>
  <c r="BA166" i="8"/>
  <c r="BA167" i="8"/>
  <c r="BA168" i="8"/>
  <c r="BA169" i="8"/>
  <c r="BA170" i="8"/>
  <c r="BA171" i="8"/>
  <c r="BA172" i="8"/>
  <c r="BA173" i="8"/>
  <c r="BA174" i="8"/>
  <c r="BA175" i="8"/>
  <c r="BA176" i="8"/>
  <c r="BA177" i="8"/>
  <c r="BA178" i="8"/>
  <c r="BA179" i="8"/>
  <c r="BA180" i="8"/>
  <c r="BA181" i="8"/>
  <c r="BA182" i="8"/>
  <c r="BA183" i="8"/>
  <c r="BA184" i="8"/>
  <c r="BA185" i="8"/>
  <c r="BA186" i="8"/>
  <c r="BA187" i="8"/>
  <c r="BA188" i="8"/>
  <c r="BA189" i="8"/>
  <c r="BA190" i="8"/>
  <c r="BA191" i="8"/>
  <c r="BA192" i="8"/>
  <c r="BA193" i="8"/>
  <c r="BA194" i="8"/>
  <c r="BA195" i="8"/>
  <c r="BA196" i="8"/>
  <c r="BA197" i="8"/>
  <c r="BA198" i="8"/>
  <c r="BA199" i="8"/>
  <c r="BA200" i="8"/>
  <c r="BA201" i="8"/>
  <c r="BA202" i="8"/>
  <c r="BA203" i="8"/>
  <c r="BA204" i="8"/>
  <c r="BA205" i="8"/>
  <c r="BA206" i="8"/>
  <c r="BA207" i="8"/>
  <c r="BA208" i="8"/>
  <c r="BA209" i="8"/>
  <c r="BA210" i="8"/>
  <c r="BA211" i="8"/>
  <c r="BA212" i="8"/>
  <c r="BA213" i="8"/>
  <c r="BA214" i="8"/>
  <c r="BA215" i="8"/>
  <c r="BA216" i="8"/>
  <c r="BA217" i="8"/>
  <c r="BA218" i="8"/>
  <c r="BA219" i="8"/>
  <c r="BA220" i="8"/>
  <c r="BA221" i="8"/>
  <c r="BA222" i="8"/>
  <c r="BA223" i="8"/>
  <c r="BA224" i="8"/>
  <c r="BA225" i="8"/>
  <c r="BA226" i="8"/>
  <c r="BA227" i="8"/>
  <c r="BA228" i="8"/>
  <c r="BA229" i="8"/>
  <c r="BA230" i="8"/>
  <c r="BA231" i="8"/>
  <c r="BA232" i="8"/>
  <c r="BA233" i="8"/>
  <c r="BA234" i="8"/>
  <c r="BA235" i="8"/>
  <c r="BA236" i="8"/>
  <c r="BA237" i="8"/>
  <c r="BA238" i="8"/>
  <c r="BA239" i="8"/>
  <c r="BA240" i="8"/>
  <c r="BA241" i="8"/>
  <c r="BA242" i="8"/>
  <c r="BA243" i="8"/>
  <c r="BA244" i="8"/>
  <c r="BA245" i="8"/>
  <c r="BA246" i="8"/>
  <c r="BA247" i="8"/>
  <c r="BA248" i="8"/>
  <c r="BA249" i="8"/>
  <c r="BA250" i="8"/>
  <c r="BA251" i="8"/>
  <c r="BA252" i="8"/>
  <c r="BA253" i="8"/>
  <c r="BA254" i="8"/>
  <c r="BA255" i="8"/>
  <c r="BA256" i="8"/>
  <c r="BA257" i="8"/>
  <c r="BA258" i="8"/>
  <c r="BA259" i="8"/>
  <c r="BA260" i="8"/>
  <c r="BA261" i="8"/>
  <c r="BA262" i="8"/>
  <c r="BA263" i="8"/>
  <c r="BA264" i="8"/>
  <c r="BA265" i="8"/>
  <c r="BA266" i="8"/>
  <c r="BA267" i="8"/>
  <c r="BA268" i="8"/>
  <c r="BA269" i="8"/>
  <c r="BA270" i="8"/>
  <c r="BA271" i="8"/>
  <c r="BA272" i="8"/>
  <c r="BA273" i="8"/>
  <c r="BA274" i="8"/>
  <c r="BA275" i="8"/>
  <c r="BA276" i="8"/>
  <c r="BA277" i="8"/>
  <c r="BA278" i="8"/>
  <c r="BA279" i="8"/>
  <c r="BA280" i="8"/>
  <c r="BA281" i="8"/>
  <c r="BA282" i="8"/>
  <c r="BA283" i="8"/>
  <c r="BA284" i="8"/>
  <c r="BA285" i="8"/>
  <c r="BA286" i="8"/>
  <c r="BA287" i="8"/>
  <c r="BA288" i="8"/>
  <c r="BA289" i="8"/>
  <c r="BA290" i="8"/>
  <c r="BA291" i="8"/>
  <c r="BA292" i="8"/>
  <c r="BA293" i="8"/>
  <c r="BA294" i="8"/>
  <c r="BA295" i="8"/>
  <c r="BA296" i="8"/>
  <c r="BA297" i="8"/>
  <c r="BA298" i="8"/>
  <c r="BA299" i="8"/>
  <c r="BA300" i="8"/>
  <c r="BA301" i="8"/>
  <c r="BA302" i="8"/>
  <c r="BA303" i="8"/>
  <c r="BA304" i="8"/>
  <c r="BA305" i="8"/>
  <c r="BA306" i="8"/>
  <c r="BA307" i="8"/>
  <c r="BA308" i="8"/>
  <c r="BA309" i="8"/>
  <c r="BA310" i="8"/>
  <c r="BA311" i="8"/>
  <c r="BA312" i="8"/>
  <c r="BA313" i="8"/>
  <c r="BA314" i="8"/>
  <c r="BA315" i="8"/>
  <c r="BA316" i="8"/>
  <c r="BA317" i="8"/>
  <c r="BA318" i="8"/>
  <c r="BA319" i="8"/>
  <c r="BA320" i="8"/>
  <c r="BA321" i="8"/>
  <c r="BA322" i="8"/>
  <c r="BA323" i="8"/>
  <c r="BA324" i="8"/>
  <c r="BA325" i="8"/>
  <c r="BA326" i="8"/>
  <c r="BA327" i="8"/>
  <c r="BA328" i="8"/>
  <c r="BA329" i="8"/>
  <c r="BA330" i="8"/>
  <c r="BA331" i="8"/>
  <c r="BA332" i="8"/>
  <c r="BA333" i="8"/>
  <c r="BA334" i="8"/>
  <c r="BA335" i="8"/>
  <c r="BA336" i="8"/>
  <c r="BA337" i="8"/>
  <c r="BA338" i="8"/>
  <c r="BA339" i="8"/>
  <c r="BA340" i="8"/>
  <c r="BA341" i="8"/>
  <c r="BA342" i="8"/>
  <c r="BA343" i="8"/>
  <c r="BA344" i="8"/>
  <c r="BA345" i="8"/>
  <c r="BA346" i="8"/>
  <c r="BA347" i="8"/>
  <c r="BA348" i="8"/>
  <c r="BA349" i="8"/>
  <c r="BA350" i="8"/>
  <c r="BA351" i="8"/>
  <c r="BA352" i="8"/>
  <c r="BA353" i="8"/>
  <c r="BA354" i="8"/>
  <c r="BA355" i="8"/>
  <c r="BA356" i="8"/>
  <c r="BA357" i="8"/>
  <c r="BA358" i="8"/>
  <c r="BA359" i="8"/>
  <c r="BA360" i="8"/>
  <c r="BA361" i="8"/>
  <c r="BA362" i="8"/>
  <c r="BA363" i="8"/>
  <c r="BA364" i="8"/>
  <c r="BA365" i="8"/>
  <c r="BA366" i="8"/>
  <c r="BA367" i="8"/>
  <c r="BA368" i="8"/>
  <c r="BA369" i="8"/>
  <c r="BA370" i="8"/>
  <c r="BA371" i="8"/>
  <c r="BA372" i="8"/>
  <c r="BA373" i="8"/>
  <c r="BA374" i="8"/>
  <c r="BA375" i="8"/>
  <c r="BA376" i="8"/>
  <c r="BA377" i="8"/>
  <c r="BA378" i="8"/>
  <c r="BA379" i="8"/>
  <c r="BA380"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BB118" i="8"/>
  <c r="BB119" i="8"/>
  <c r="BB120" i="8"/>
  <c r="BB121" i="8"/>
  <c r="BB122" i="8"/>
  <c r="BB123" i="8"/>
  <c r="BB124" i="8"/>
  <c r="BB125" i="8"/>
  <c r="BB126" i="8"/>
  <c r="BB127" i="8"/>
  <c r="BB128" i="8"/>
  <c r="BB129" i="8"/>
  <c r="BB130" i="8"/>
  <c r="BB131" i="8"/>
  <c r="BB132" i="8"/>
  <c r="BB133" i="8"/>
  <c r="BB134" i="8"/>
  <c r="BB135" i="8"/>
  <c r="BB136" i="8"/>
  <c r="BB137" i="8"/>
  <c r="BB138" i="8"/>
  <c r="BB139" i="8"/>
  <c r="BB140" i="8"/>
  <c r="BB141" i="8"/>
  <c r="BB142" i="8"/>
  <c r="BB143" i="8"/>
  <c r="BB144" i="8"/>
  <c r="BB145" i="8"/>
  <c r="BB146" i="8"/>
  <c r="BB147" i="8"/>
  <c r="BB148" i="8"/>
  <c r="BB149" i="8"/>
  <c r="BB150" i="8"/>
  <c r="BB151" i="8"/>
  <c r="BB152" i="8"/>
  <c r="BB153" i="8"/>
  <c r="BB154" i="8"/>
  <c r="BB155" i="8"/>
  <c r="BB156" i="8"/>
  <c r="BB157" i="8"/>
  <c r="BB158" i="8"/>
  <c r="BB159" i="8"/>
  <c r="BB160" i="8"/>
  <c r="BB161" i="8"/>
  <c r="BB162" i="8"/>
  <c r="BB163" i="8"/>
  <c r="BB164" i="8"/>
  <c r="BB165" i="8"/>
  <c r="BB166" i="8"/>
  <c r="BB167" i="8"/>
  <c r="BB168" i="8"/>
  <c r="BB169" i="8"/>
  <c r="BB170" i="8"/>
  <c r="BB171" i="8"/>
  <c r="BB172" i="8"/>
  <c r="BB173" i="8"/>
  <c r="BB174" i="8"/>
  <c r="BB175" i="8"/>
  <c r="BB176" i="8"/>
  <c r="BB177" i="8"/>
  <c r="BB178" i="8"/>
  <c r="BB179" i="8"/>
  <c r="BB180" i="8"/>
  <c r="BB181" i="8"/>
  <c r="BB182" i="8"/>
  <c r="BB183" i="8"/>
  <c r="BB184" i="8"/>
  <c r="BB185" i="8"/>
  <c r="BB186" i="8"/>
  <c r="BB187" i="8"/>
  <c r="BB188" i="8"/>
  <c r="BB189" i="8"/>
  <c r="BB190" i="8"/>
  <c r="BB191" i="8"/>
  <c r="BB192" i="8"/>
  <c r="BB193" i="8"/>
  <c r="BB194" i="8"/>
  <c r="BB195" i="8"/>
  <c r="BB196" i="8"/>
  <c r="BB197" i="8"/>
  <c r="BB198" i="8"/>
  <c r="BB199" i="8"/>
  <c r="BB200" i="8"/>
  <c r="BB201" i="8"/>
  <c r="BB202" i="8"/>
  <c r="BB203" i="8"/>
  <c r="BB204" i="8"/>
  <c r="BB205" i="8"/>
  <c r="BB206" i="8"/>
  <c r="BB207" i="8"/>
  <c r="BB208" i="8"/>
  <c r="BB209" i="8"/>
  <c r="BB210" i="8"/>
  <c r="BB211" i="8"/>
  <c r="BB212" i="8"/>
  <c r="BB213" i="8"/>
  <c r="BB214" i="8"/>
  <c r="BB215" i="8"/>
  <c r="BB216" i="8"/>
  <c r="BB217" i="8"/>
  <c r="BB218" i="8"/>
  <c r="BB219" i="8"/>
  <c r="BB220" i="8"/>
  <c r="BB221" i="8"/>
  <c r="BB222" i="8"/>
  <c r="BB223" i="8"/>
  <c r="BB224" i="8"/>
  <c r="BB225" i="8"/>
  <c r="BB226" i="8"/>
  <c r="BB227" i="8"/>
  <c r="BB228" i="8"/>
  <c r="BB229" i="8"/>
  <c r="BB230" i="8"/>
  <c r="BB231" i="8"/>
  <c r="BB232" i="8"/>
  <c r="BB233" i="8"/>
  <c r="BB234" i="8"/>
  <c r="BB235" i="8"/>
  <c r="BB236" i="8"/>
  <c r="BB237" i="8"/>
  <c r="BB238" i="8"/>
  <c r="BB239" i="8"/>
  <c r="BB240" i="8"/>
  <c r="BB241" i="8"/>
  <c r="BB242" i="8"/>
  <c r="BB243" i="8"/>
  <c r="BB244" i="8"/>
  <c r="BB245" i="8"/>
  <c r="BB246" i="8"/>
  <c r="BB247" i="8"/>
  <c r="BB248" i="8"/>
  <c r="BB249" i="8"/>
  <c r="BB250" i="8"/>
  <c r="BB251" i="8"/>
  <c r="BB252" i="8"/>
  <c r="BB253" i="8"/>
  <c r="BB254" i="8"/>
  <c r="BB255" i="8"/>
  <c r="BB256" i="8"/>
  <c r="BB257" i="8"/>
  <c r="BB258" i="8"/>
  <c r="BB259" i="8"/>
  <c r="BB260" i="8"/>
  <c r="BB261" i="8"/>
  <c r="BB262" i="8"/>
  <c r="BB263" i="8"/>
  <c r="BB264" i="8"/>
  <c r="BB265" i="8"/>
  <c r="BB266" i="8"/>
  <c r="BB267" i="8"/>
  <c r="BB268" i="8"/>
  <c r="BB269" i="8"/>
  <c r="BB270" i="8"/>
  <c r="BB271" i="8"/>
  <c r="BB272" i="8"/>
  <c r="BB273" i="8"/>
  <c r="BB274" i="8"/>
  <c r="BB275" i="8"/>
  <c r="BB276" i="8"/>
  <c r="BB277" i="8"/>
  <c r="BB278" i="8"/>
  <c r="BB279" i="8"/>
  <c r="BB280" i="8"/>
  <c r="BB281" i="8"/>
  <c r="BB282" i="8"/>
  <c r="BB283" i="8"/>
  <c r="BB284" i="8"/>
  <c r="BB285" i="8"/>
  <c r="BB286" i="8"/>
  <c r="BB287" i="8"/>
  <c r="BB288" i="8"/>
  <c r="BB289" i="8"/>
  <c r="BB290" i="8"/>
  <c r="BB291" i="8"/>
  <c r="BB292" i="8"/>
  <c r="BB293" i="8"/>
  <c r="BB294" i="8"/>
  <c r="BB295" i="8"/>
  <c r="BB296" i="8"/>
  <c r="BB297" i="8"/>
  <c r="BB298" i="8"/>
  <c r="BB299" i="8"/>
  <c r="BB300" i="8"/>
  <c r="BB301" i="8"/>
  <c r="BB302" i="8"/>
  <c r="BB303" i="8"/>
  <c r="BB304" i="8"/>
  <c r="BB305" i="8"/>
  <c r="BB306" i="8"/>
  <c r="BB307" i="8"/>
  <c r="BB308" i="8"/>
  <c r="BB309" i="8"/>
  <c r="BB310" i="8"/>
  <c r="BB311" i="8"/>
  <c r="BB312" i="8"/>
  <c r="BB313" i="8"/>
  <c r="BB314" i="8"/>
  <c r="BB315" i="8"/>
  <c r="BB316" i="8"/>
  <c r="BB317" i="8"/>
  <c r="BB318" i="8"/>
  <c r="BB319" i="8"/>
  <c r="BB320" i="8"/>
  <c r="BB321" i="8"/>
  <c r="BB322" i="8"/>
  <c r="BB323" i="8"/>
  <c r="BB324" i="8"/>
  <c r="BB325" i="8"/>
  <c r="BB326" i="8"/>
  <c r="BB327" i="8"/>
  <c r="BB328" i="8"/>
  <c r="BB329" i="8"/>
  <c r="BB330" i="8"/>
  <c r="BB331" i="8"/>
  <c r="BB332" i="8"/>
  <c r="BB333" i="8"/>
  <c r="BB334" i="8"/>
  <c r="BB335" i="8"/>
  <c r="BB336" i="8"/>
  <c r="BB337" i="8"/>
  <c r="BB338" i="8"/>
  <c r="BB339" i="8"/>
  <c r="BB340" i="8"/>
  <c r="BB341" i="8"/>
  <c r="BB342" i="8"/>
  <c r="BB343" i="8"/>
  <c r="BB344" i="8"/>
  <c r="BB345" i="8"/>
  <c r="BB346" i="8"/>
  <c r="BB347" i="8"/>
  <c r="BB348" i="8"/>
  <c r="BB349" i="8"/>
  <c r="BB350" i="8"/>
  <c r="BB351" i="8"/>
  <c r="BB352" i="8"/>
  <c r="BB353" i="8"/>
  <c r="BB354" i="8"/>
  <c r="BB355" i="8"/>
  <c r="BB356" i="8"/>
  <c r="BB357" i="8"/>
  <c r="BB358" i="8"/>
  <c r="BB359" i="8"/>
  <c r="BB360" i="8"/>
  <c r="BB361" i="8"/>
  <c r="BB362" i="8"/>
  <c r="BB363" i="8"/>
  <c r="BB364" i="8"/>
  <c r="BB365" i="8"/>
  <c r="BB366" i="8"/>
  <c r="BB367" i="8"/>
  <c r="BB368" i="8"/>
  <c r="BB369" i="8"/>
  <c r="BB370" i="8"/>
  <c r="BB371" i="8"/>
  <c r="BB372" i="8"/>
  <c r="BB373" i="8"/>
  <c r="BB374" i="8"/>
  <c r="BB375" i="8"/>
  <c r="BB376" i="8"/>
  <c r="BB377" i="8"/>
  <c r="BB378" i="8"/>
  <c r="BB379" i="8"/>
  <c r="BB380"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C60" i="8"/>
  <c r="BC61" i="8"/>
  <c r="BC62" i="8"/>
  <c r="BC63" i="8"/>
  <c r="BC64" i="8"/>
  <c r="BC65" i="8"/>
  <c r="BC66" i="8"/>
  <c r="BC67" i="8"/>
  <c r="BC68" i="8"/>
  <c r="BC69" i="8"/>
  <c r="BC70" i="8"/>
  <c r="BC71" i="8"/>
  <c r="BC72" i="8"/>
  <c r="BC73" i="8"/>
  <c r="BC74" i="8"/>
  <c r="BC75" i="8"/>
  <c r="BC76" i="8"/>
  <c r="BC77" i="8"/>
  <c r="BC78" i="8"/>
  <c r="BC79" i="8"/>
  <c r="BC80" i="8"/>
  <c r="BC81" i="8"/>
  <c r="BC82" i="8"/>
  <c r="BC83" i="8"/>
  <c r="BC84" i="8"/>
  <c r="BC85" i="8"/>
  <c r="BC86" i="8"/>
  <c r="BC87" i="8"/>
  <c r="BC88" i="8"/>
  <c r="BC89" i="8"/>
  <c r="BC90" i="8"/>
  <c r="BC91" i="8"/>
  <c r="BC92" i="8"/>
  <c r="BC93" i="8"/>
  <c r="BC94" i="8"/>
  <c r="BC95" i="8"/>
  <c r="BC96" i="8"/>
  <c r="BC97" i="8"/>
  <c r="BC98" i="8"/>
  <c r="BC99" i="8"/>
  <c r="BC100" i="8"/>
  <c r="BC101" i="8"/>
  <c r="BC102" i="8"/>
  <c r="BC103" i="8"/>
  <c r="BC104" i="8"/>
  <c r="BC105" i="8"/>
  <c r="BC106" i="8"/>
  <c r="BC107" i="8"/>
  <c r="BC108" i="8"/>
  <c r="BC109" i="8"/>
  <c r="BC110" i="8"/>
  <c r="BC111" i="8"/>
  <c r="BC112" i="8"/>
  <c r="BC113" i="8"/>
  <c r="BC114" i="8"/>
  <c r="BC115" i="8"/>
  <c r="BC116" i="8"/>
  <c r="BC117" i="8"/>
  <c r="BC118" i="8"/>
  <c r="BC119" i="8"/>
  <c r="BC120" i="8"/>
  <c r="BC121" i="8"/>
  <c r="BC122" i="8"/>
  <c r="BC123" i="8"/>
  <c r="BC124" i="8"/>
  <c r="BC125" i="8"/>
  <c r="BC126" i="8"/>
  <c r="BC127" i="8"/>
  <c r="BC128" i="8"/>
  <c r="BC129" i="8"/>
  <c r="BC130" i="8"/>
  <c r="BC131" i="8"/>
  <c r="BC132" i="8"/>
  <c r="BC133" i="8"/>
  <c r="BC134" i="8"/>
  <c r="BC135" i="8"/>
  <c r="BC136" i="8"/>
  <c r="BC137" i="8"/>
  <c r="BC138" i="8"/>
  <c r="BC139" i="8"/>
  <c r="BC140" i="8"/>
  <c r="BC141" i="8"/>
  <c r="BC142" i="8"/>
  <c r="BC143" i="8"/>
  <c r="BC144" i="8"/>
  <c r="BC145" i="8"/>
  <c r="BC146" i="8"/>
  <c r="BC147" i="8"/>
  <c r="BC148" i="8"/>
  <c r="BC149" i="8"/>
  <c r="BC150" i="8"/>
  <c r="BC151" i="8"/>
  <c r="BC152" i="8"/>
  <c r="BC153" i="8"/>
  <c r="BC154" i="8"/>
  <c r="BC155" i="8"/>
  <c r="BC156" i="8"/>
  <c r="BC157" i="8"/>
  <c r="BC158" i="8"/>
  <c r="BC159" i="8"/>
  <c r="BC160" i="8"/>
  <c r="BC161" i="8"/>
  <c r="BC162" i="8"/>
  <c r="BC163" i="8"/>
  <c r="BC164" i="8"/>
  <c r="BC165" i="8"/>
  <c r="BC166" i="8"/>
  <c r="BC167" i="8"/>
  <c r="BC168" i="8"/>
  <c r="BC169" i="8"/>
  <c r="BC170" i="8"/>
  <c r="BC171" i="8"/>
  <c r="BC172" i="8"/>
  <c r="BC173" i="8"/>
  <c r="BC174" i="8"/>
  <c r="BC175" i="8"/>
  <c r="BC176" i="8"/>
  <c r="BC177" i="8"/>
  <c r="BC178" i="8"/>
  <c r="BC179" i="8"/>
  <c r="BC180" i="8"/>
  <c r="BC181" i="8"/>
  <c r="BC182" i="8"/>
  <c r="BC183" i="8"/>
  <c r="BC184" i="8"/>
  <c r="BC185" i="8"/>
  <c r="BC186" i="8"/>
  <c r="BC187" i="8"/>
  <c r="BC188" i="8"/>
  <c r="BC189" i="8"/>
  <c r="BC190" i="8"/>
  <c r="BC191" i="8"/>
  <c r="BC192" i="8"/>
  <c r="BC193" i="8"/>
  <c r="BC194" i="8"/>
  <c r="BC195" i="8"/>
  <c r="BC196" i="8"/>
  <c r="BC197" i="8"/>
  <c r="BC198" i="8"/>
  <c r="BC199" i="8"/>
  <c r="BC200" i="8"/>
  <c r="BC201" i="8"/>
  <c r="BC202" i="8"/>
  <c r="BC203" i="8"/>
  <c r="BC204" i="8"/>
  <c r="BC205" i="8"/>
  <c r="BC206" i="8"/>
  <c r="BC207" i="8"/>
  <c r="BC208" i="8"/>
  <c r="BC209" i="8"/>
  <c r="BC210" i="8"/>
  <c r="BC211" i="8"/>
  <c r="BC212" i="8"/>
  <c r="BC213" i="8"/>
  <c r="BC214" i="8"/>
  <c r="BC215" i="8"/>
  <c r="BC216" i="8"/>
  <c r="BC217" i="8"/>
  <c r="BC218" i="8"/>
  <c r="BC219" i="8"/>
  <c r="BC220" i="8"/>
  <c r="BC221" i="8"/>
  <c r="BC222" i="8"/>
  <c r="BC223" i="8"/>
  <c r="BC224" i="8"/>
  <c r="BC225" i="8"/>
  <c r="BC226" i="8"/>
  <c r="BC227" i="8"/>
  <c r="BC228" i="8"/>
  <c r="BC229" i="8"/>
  <c r="BC230" i="8"/>
  <c r="BC231" i="8"/>
  <c r="BC232" i="8"/>
  <c r="BC233" i="8"/>
  <c r="BC234" i="8"/>
  <c r="BC235" i="8"/>
  <c r="BC236" i="8"/>
  <c r="BC237" i="8"/>
  <c r="BC238" i="8"/>
  <c r="BC239" i="8"/>
  <c r="BC240" i="8"/>
  <c r="BC241" i="8"/>
  <c r="BC242" i="8"/>
  <c r="BC243" i="8"/>
  <c r="BC244" i="8"/>
  <c r="BC245" i="8"/>
  <c r="BC246" i="8"/>
  <c r="BC247" i="8"/>
  <c r="BC248" i="8"/>
  <c r="BC249" i="8"/>
  <c r="BC250" i="8"/>
  <c r="BC251" i="8"/>
  <c r="BC252" i="8"/>
  <c r="BC253" i="8"/>
  <c r="BC254" i="8"/>
  <c r="BC255" i="8"/>
  <c r="BC256" i="8"/>
  <c r="BC257" i="8"/>
  <c r="BC258" i="8"/>
  <c r="BC259" i="8"/>
  <c r="BC260" i="8"/>
  <c r="BC261" i="8"/>
  <c r="BC262" i="8"/>
  <c r="BC263" i="8"/>
  <c r="BC264" i="8"/>
  <c r="BC265" i="8"/>
  <c r="BC266" i="8"/>
  <c r="BC267" i="8"/>
  <c r="BC268" i="8"/>
  <c r="BC269" i="8"/>
  <c r="BC270" i="8"/>
  <c r="BC271" i="8"/>
  <c r="BC272" i="8"/>
  <c r="BC273" i="8"/>
  <c r="BC274" i="8"/>
  <c r="BC275" i="8"/>
  <c r="BC276" i="8"/>
  <c r="BC277" i="8"/>
  <c r="BC278" i="8"/>
  <c r="BC279" i="8"/>
  <c r="BC280" i="8"/>
  <c r="BC281" i="8"/>
  <c r="BC282" i="8"/>
  <c r="BC283" i="8"/>
  <c r="BC284" i="8"/>
  <c r="BC285" i="8"/>
  <c r="BC286" i="8"/>
  <c r="BC287" i="8"/>
  <c r="BC288" i="8"/>
  <c r="BC289" i="8"/>
  <c r="BC290" i="8"/>
  <c r="BC291" i="8"/>
  <c r="BC292" i="8"/>
  <c r="BC293" i="8"/>
  <c r="BC294" i="8"/>
  <c r="BC295" i="8"/>
  <c r="BC296" i="8"/>
  <c r="BC297" i="8"/>
  <c r="BC298" i="8"/>
  <c r="BC299" i="8"/>
  <c r="BC300" i="8"/>
  <c r="BC301" i="8"/>
  <c r="BC302" i="8"/>
  <c r="BC303" i="8"/>
  <c r="BC304" i="8"/>
  <c r="BC305" i="8"/>
  <c r="BC306" i="8"/>
  <c r="BC307" i="8"/>
  <c r="BC308" i="8"/>
  <c r="BC309" i="8"/>
  <c r="BC310" i="8"/>
  <c r="BC311" i="8"/>
  <c r="BC312" i="8"/>
  <c r="BC313" i="8"/>
  <c r="BC314" i="8"/>
  <c r="BC315" i="8"/>
  <c r="BC316" i="8"/>
  <c r="BC317" i="8"/>
  <c r="BC318" i="8"/>
  <c r="BC319" i="8"/>
  <c r="BC320" i="8"/>
  <c r="BC321" i="8"/>
  <c r="BC322" i="8"/>
  <c r="BC323" i="8"/>
  <c r="BC324" i="8"/>
  <c r="BC325" i="8"/>
  <c r="BC326" i="8"/>
  <c r="BC327" i="8"/>
  <c r="BC328" i="8"/>
  <c r="BC329" i="8"/>
  <c r="BC330" i="8"/>
  <c r="BC331" i="8"/>
  <c r="BC332" i="8"/>
  <c r="BC333" i="8"/>
  <c r="BC334" i="8"/>
  <c r="BC335" i="8"/>
  <c r="BC336" i="8"/>
  <c r="BC337" i="8"/>
  <c r="BC338" i="8"/>
  <c r="BC339" i="8"/>
  <c r="BC340" i="8"/>
  <c r="BC341" i="8"/>
  <c r="BC342" i="8"/>
  <c r="BC343" i="8"/>
  <c r="BC344" i="8"/>
  <c r="BC345" i="8"/>
  <c r="BC346" i="8"/>
  <c r="BC347" i="8"/>
  <c r="BC348" i="8"/>
  <c r="BC349" i="8"/>
  <c r="BC350" i="8"/>
  <c r="BC351" i="8"/>
  <c r="BC352" i="8"/>
  <c r="BC353" i="8"/>
  <c r="BC354" i="8"/>
  <c r="BC355" i="8"/>
  <c r="BC356" i="8"/>
  <c r="BC357" i="8"/>
  <c r="BC358" i="8"/>
  <c r="BC359" i="8"/>
  <c r="BC360" i="8"/>
  <c r="BC361" i="8"/>
  <c r="BC362" i="8"/>
  <c r="BC363" i="8"/>
  <c r="BC364" i="8"/>
  <c r="BC365" i="8"/>
  <c r="BC366" i="8"/>
  <c r="BC367" i="8"/>
  <c r="BC368" i="8"/>
  <c r="BC369" i="8"/>
  <c r="BC370" i="8"/>
  <c r="BC371" i="8"/>
  <c r="BC372" i="8"/>
  <c r="BC373" i="8"/>
  <c r="BC374" i="8"/>
  <c r="BC375" i="8"/>
  <c r="BC376" i="8"/>
  <c r="BC377" i="8"/>
  <c r="BC378" i="8"/>
  <c r="BC379" i="8"/>
  <c r="BC380"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41" i="8"/>
  <c r="BD42" i="8"/>
  <c r="BD43" i="8"/>
  <c r="BD44" i="8"/>
  <c r="BD45" i="8"/>
  <c r="BD46" i="8"/>
  <c r="BD47" i="8"/>
  <c r="BD48" i="8"/>
  <c r="BD49" i="8"/>
  <c r="BD50" i="8"/>
  <c r="BD51" i="8"/>
  <c r="BD52" i="8"/>
  <c r="BD53" i="8"/>
  <c r="BD54" i="8"/>
  <c r="BD55" i="8"/>
  <c r="BD56" i="8"/>
  <c r="BD57" i="8"/>
  <c r="BD58" i="8"/>
  <c r="BD59" i="8"/>
  <c r="BD60" i="8"/>
  <c r="BD61" i="8"/>
  <c r="BD62" i="8"/>
  <c r="BD63" i="8"/>
  <c r="BD64" i="8"/>
  <c r="BD65" i="8"/>
  <c r="BD66" i="8"/>
  <c r="BD67" i="8"/>
  <c r="BD68" i="8"/>
  <c r="BD69" i="8"/>
  <c r="BD70" i="8"/>
  <c r="BD71" i="8"/>
  <c r="BD72" i="8"/>
  <c r="BD73" i="8"/>
  <c r="BD74" i="8"/>
  <c r="BD75" i="8"/>
  <c r="BD76" i="8"/>
  <c r="BD77" i="8"/>
  <c r="BD78" i="8"/>
  <c r="BD79" i="8"/>
  <c r="BD80" i="8"/>
  <c r="BD81" i="8"/>
  <c r="BD82" i="8"/>
  <c r="BD83" i="8"/>
  <c r="BD84" i="8"/>
  <c r="BD85" i="8"/>
  <c r="BD86" i="8"/>
  <c r="BD87" i="8"/>
  <c r="BD88" i="8"/>
  <c r="BD89" i="8"/>
  <c r="BD90" i="8"/>
  <c r="BD91" i="8"/>
  <c r="BD92" i="8"/>
  <c r="BD93" i="8"/>
  <c r="BD94" i="8"/>
  <c r="BD95" i="8"/>
  <c r="BD96" i="8"/>
  <c r="BD97" i="8"/>
  <c r="BD98" i="8"/>
  <c r="BD99" i="8"/>
  <c r="BD100" i="8"/>
  <c r="BD101" i="8"/>
  <c r="BD102" i="8"/>
  <c r="BD103" i="8"/>
  <c r="BD104" i="8"/>
  <c r="BD105" i="8"/>
  <c r="BD106" i="8"/>
  <c r="BD107" i="8"/>
  <c r="BD108" i="8"/>
  <c r="BD109" i="8"/>
  <c r="BD110" i="8"/>
  <c r="BD111" i="8"/>
  <c r="BD112" i="8"/>
  <c r="BD113" i="8"/>
  <c r="BD114" i="8"/>
  <c r="BD115" i="8"/>
  <c r="BD116" i="8"/>
  <c r="BD117" i="8"/>
  <c r="BD118" i="8"/>
  <c r="BD119" i="8"/>
  <c r="BD120" i="8"/>
  <c r="BD121" i="8"/>
  <c r="BD122" i="8"/>
  <c r="BD123" i="8"/>
  <c r="BD124" i="8"/>
  <c r="BD125" i="8"/>
  <c r="BD126" i="8"/>
  <c r="BD127" i="8"/>
  <c r="BD128" i="8"/>
  <c r="BD129" i="8"/>
  <c r="BD130" i="8"/>
  <c r="BD131" i="8"/>
  <c r="BD132" i="8"/>
  <c r="BD133" i="8"/>
  <c r="BD134" i="8"/>
  <c r="BD135" i="8"/>
  <c r="BD136" i="8"/>
  <c r="BD137" i="8"/>
  <c r="BD138" i="8"/>
  <c r="BD139" i="8"/>
  <c r="BD140" i="8"/>
  <c r="BD141" i="8"/>
  <c r="BD142" i="8"/>
  <c r="BD143" i="8"/>
  <c r="BD144" i="8"/>
  <c r="BD145" i="8"/>
  <c r="BD146" i="8"/>
  <c r="BD147" i="8"/>
  <c r="BD148" i="8"/>
  <c r="BD149" i="8"/>
  <c r="BD150" i="8"/>
  <c r="BD151" i="8"/>
  <c r="BD152" i="8"/>
  <c r="BD153" i="8"/>
  <c r="BD154" i="8"/>
  <c r="BD155" i="8"/>
  <c r="BD156" i="8"/>
  <c r="BD157" i="8"/>
  <c r="BD158" i="8"/>
  <c r="BD159" i="8"/>
  <c r="BD160" i="8"/>
  <c r="BD161" i="8"/>
  <c r="BD162" i="8"/>
  <c r="BD163" i="8"/>
  <c r="BD164" i="8"/>
  <c r="BD165" i="8"/>
  <c r="BD166" i="8"/>
  <c r="BD167" i="8"/>
  <c r="BD168" i="8"/>
  <c r="BD169" i="8"/>
  <c r="BD170" i="8"/>
  <c r="BD171" i="8"/>
  <c r="BD172" i="8"/>
  <c r="BD173" i="8"/>
  <c r="BD174" i="8"/>
  <c r="BD175" i="8"/>
  <c r="BD176" i="8"/>
  <c r="BD177" i="8"/>
  <c r="BD178" i="8"/>
  <c r="BD179" i="8"/>
  <c r="BD180" i="8"/>
  <c r="BD181" i="8"/>
  <c r="BD182" i="8"/>
  <c r="BD183" i="8"/>
  <c r="BD184" i="8"/>
  <c r="BD185" i="8"/>
  <c r="BD186" i="8"/>
  <c r="BD187" i="8"/>
  <c r="BD188" i="8"/>
  <c r="BD189" i="8"/>
  <c r="BD190" i="8"/>
  <c r="BD191" i="8"/>
  <c r="BD192" i="8"/>
  <c r="BD193" i="8"/>
  <c r="BD194" i="8"/>
  <c r="BD195" i="8"/>
  <c r="BD196" i="8"/>
  <c r="BD197" i="8"/>
  <c r="BD198" i="8"/>
  <c r="BD199" i="8"/>
  <c r="BD200" i="8"/>
  <c r="BD201" i="8"/>
  <c r="BD202" i="8"/>
  <c r="BD203" i="8"/>
  <c r="BD204" i="8"/>
  <c r="BD205" i="8"/>
  <c r="BD206" i="8"/>
  <c r="BD207" i="8"/>
  <c r="BD208" i="8"/>
  <c r="BD209" i="8"/>
  <c r="BD210" i="8"/>
  <c r="BD211" i="8"/>
  <c r="BD212" i="8"/>
  <c r="BD213" i="8"/>
  <c r="BD214" i="8"/>
  <c r="BD215" i="8"/>
  <c r="BD216" i="8"/>
  <c r="BD217" i="8"/>
  <c r="BD218" i="8"/>
  <c r="BD219" i="8"/>
  <c r="BD220" i="8"/>
  <c r="BD221" i="8"/>
  <c r="BD222" i="8"/>
  <c r="BD223" i="8"/>
  <c r="BD224" i="8"/>
  <c r="BD225" i="8"/>
  <c r="BD226" i="8"/>
  <c r="BD227" i="8"/>
  <c r="BD228" i="8"/>
  <c r="BD229" i="8"/>
  <c r="BD230" i="8"/>
  <c r="BD231" i="8"/>
  <c r="BD232" i="8"/>
  <c r="BD233" i="8"/>
  <c r="BD234" i="8"/>
  <c r="BD235" i="8"/>
  <c r="BD236" i="8"/>
  <c r="BD237" i="8"/>
  <c r="BD238" i="8"/>
  <c r="BD239" i="8"/>
  <c r="BD240" i="8"/>
  <c r="BD241" i="8"/>
  <c r="BD242" i="8"/>
  <c r="BD243" i="8"/>
  <c r="BD244" i="8"/>
  <c r="BD245" i="8"/>
  <c r="BD246" i="8"/>
  <c r="BD247" i="8"/>
  <c r="BD248" i="8"/>
  <c r="BD249" i="8"/>
  <c r="BD250" i="8"/>
  <c r="BD251" i="8"/>
  <c r="BD252" i="8"/>
  <c r="BD253" i="8"/>
  <c r="BD254" i="8"/>
  <c r="BD255" i="8"/>
  <c r="BD256" i="8"/>
  <c r="BD257" i="8"/>
  <c r="BD258" i="8"/>
  <c r="BD259" i="8"/>
  <c r="BD260" i="8"/>
  <c r="BD261" i="8"/>
  <c r="BD262" i="8"/>
  <c r="BD263" i="8"/>
  <c r="BD264" i="8"/>
  <c r="BD265" i="8"/>
  <c r="BD266" i="8"/>
  <c r="BD267" i="8"/>
  <c r="BD268" i="8"/>
  <c r="BD269" i="8"/>
  <c r="BD270" i="8"/>
  <c r="BD271" i="8"/>
  <c r="BD272" i="8"/>
  <c r="BD273" i="8"/>
  <c r="BD274" i="8"/>
  <c r="BD275" i="8"/>
  <c r="BD276" i="8"/>
  <c r="BD277" i="8"/>
  <c r="BD278" i="8"/>
  <c r="BD279" i="8"/>
  <c r="BD280" i="8"/>
  <c r="BD281" i="8"/>
  <c r="BD282" i="8"/>
  <c r="BD283" i="8"/>
  <c r="BD284" i="8"/>
  <c r="BD285" i="8"/>
  <c r="BD286" i="8"/>
  <c r="BD287" i="8"/>
  <c r="BD288" i="8"/>
  <c r="BD289" i="8"/>
  <c r="BD290" i="8"/>
  <c r="BD291" i="8"/>
  <c r="BD292" i="8"/>
  <c r="BD293" i="8"/>
  <c r="BD294" i="8"/>
  <c r="BD295" i="8"/>
  <c r="BD296" i="8"/>
  <c r="BD297" i="8"/>
  <c r="BD298" i="8"/>
  <c r="BD299" i="8"/>
  <c r="BD300" i="8"/>
  <c r="BD301" i="8"/>
  <c r="BD302" i="8"/>
  <c r="BD303" i="8"/>
  <c r="BD304" i="8"/>
  <c r="BD305" i="8"/>
  <c r="BD306" i="8"/>
  <c r="BD307" i="8"/>
  <c r="BD308" i="8"/>
  <c r="BD309" i="8"/>
  <c r="BD310" i="8"/>
  <c r="BD311" i="8"/>
  <c r="BD312" i="8"/>
  <c r="BD313" i="8"/>
  <c r="BD314" i="8"/>
  <c r="BD315" i="8"/>
  <c r="BD316" i="8"/>
  <c r="BD317" i="8"/>
  <c r="BD318" i="8"/>
  <c r="BD319" i="8"/>
  <c r="BD320" i="8"/>
  <c r="BD321" i="8"/>
  <c r="BD322" i="8"/>
  <c r="BD323" i="8"/>
  <c r="BD324" i="8"/>
  <c r="BD325" i="8"/>
  <c r="BD326" i="8"/>
  <c r="BD327" i="8"/>
  <c r="BD328" i="8"/>
  <c r="BD329" i="8"/>
  <c r="BD330" i="8"/>
  <c r="BD331" i="8"/>
  <c r="BD332" i="8"/>
  <c r="BD333" i="8"/>
  <c r="BD334" i="8"/>
  <c r="BD335" i="8"/>
  <c r="BD336" i="8"/>
  <c r="BD337" i="8"/>
  <c r="BD338" i="8"/>
  <c r="BD339" i="8"/>
  <c r="BD340" i="8"/>
  <c r="BD341" i="8"/>
  <c r="BD342" i="8"/>
  <c r="BD343" i="8"/>
  <c r="BD344" i="8"/>
  <c r="BD345" i="8"/>
  <c r="BD346" i="8"/>
  <c r="BD347" i="8"/>
  <c r="BD348" i="8"/>
  <c r="BD349" i="8"/>
  <c r="BD350" i="8"/>
  <c r="BD351" i="8"/>
  <c r="BD352" i="8"/>
  <c r="BD353" i="8"/>
  <c r="BD354" i="8"/>
  <c r="BD355" i="8"/>
  <c r="BD356" i="8"/>
  <c r="BD357" i="8"/>
  <c r="BD358" i="8"/>
  <c r="BD359" i="8"/>
  <c r="BD360" i="8"/>
  <c r="BD361" i="8"/>
  <c r="BD362" i="8"/>
  <c r="BD363" i="8"/>
  <c r="BD364" i="8"/>
  <c r="BD365" i="8"/>
  <c r="BD366" i="8"/>
  <c r="BD367" i="8"/>
  <c r="BD368" i="8"/>
  <c r="BD369" i="8"/>
  <c r="BD370" i="8"/>
  <c r="BD371" i="8"/>
  <c r="BD372" i="8"/>
  <c r="BD373" i="8"/>
  <c r="BD374" i="8"/>
  <c r="BD375" i="8"/>
  <c r="BD376" i="8"/>
  <c r="BD377" i="8"/>
  <c r="BD378" i="8"/>
  <c r="BD379" i="8"/>
  <c r="BD380"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45" i="8"/>
  <c r="BE46" i="8"/>
  <c r="BE47" i="8"/>
  <c r="BE48" i="8"/>
  <c r="BE49" i="8"/>
  <c r="BE50" i="8"/>
  <c r="BE51" i="8"/>
  <c r="BE52" i="8"/>
  <c r="BE53" i="8"/>
  <c r="BE54" i="8"/>
  <c r="BE55" i="8"/>
  <c r="BE56" i="8"/>
  <c r="BE57" i="8"/>
  <c r="BE58" i="8"/>
  <c r="BE59" i="8"/>
  <c r="BE60" i="8"/>
  <c r="BE61" i="8"/>
  <c r="BE62" i="8"/>
  <c r="BE63" i="8"/>
  <c r="BE64" i="8"/>
  <c r="BE65" i="8"/>
  <c r="BE66" i="8"/>
  <c r="BE67" i="8"/>
  <c r="BE68" i="8"/>
  <c r="BE69" i="8"/>
  <c r="BE70" i="8"/>
  <c r="BE71" i="8"/>
  <c r="BE72" i="8"/>
  <c r="BE73" i="8"/>
  <c r="BE74" i="8"/>
  <c r="BE75" i="8"/>
  <c r="BE76" i="8"/>
  <c r="BE77" i="8"/>
  <c r="BE78" i="8"/>
  <c r="BE79" i="8"/>
  <c r="BE80" i="8"/>
  <c r="BE81" i="8"/>
  <c r="BE82" i="8"/>
  <c r="BE83" i="8"/>
  <c r="BE84" i="8"/>
  <c r="BE85" i="8"/>
  <c r="BE86" i="8"/>
  <c r="BE87" i="8"/>
  <c r="BE88" i="8"/>
  <c r="BE89" i="8"/>
  <c r="BE90" i="8"/>
  <c r="BE91" i="8"/>
  <c r="BE92" i="8"/>
  <c r="BE93" i="8"/>
  <c r="BE94" i="8"/>
  <c r="BE95" i="8"/>
  <c r="BE96" i="8"/>
  <c r="BE97" i="8"/>
  <c r="BE98" i="8"/>
  <c r="BE99" i="8"/>
  <c r="BE100" i="8"/>
  <c r="BE101" i="8"/>
  <c r="BE102" i="8"/>
  <c r="BE103" i="8"/>
  <c r="BE104" i="8"/>
  <c r="BE105" i="8"/>
  <c r="BE106" i="8"/>
  <c r="BE107" i="8"/>
  <c r="BE108" i="8"/>
  <c r="BE109" i="8"/>
  <c r="BE110" i="8"/>
  <c r="BE111" i="8"/>
  <c r="BE112" i="8"/>
  <c r="BE113" i="8"/>
  <c r="BE114" i="8"/>
  <c r="BE115" i="8"/>
  <c r="BE116" i="8"/>
  <c r="BE117" i="8"/>
  <c r="BE118" i="8"/>
  <c r="BE119" i="8"/>
  <c r="BE120" i="8"/>
  <c r="BE121" i="8"/>
  <c r="BE122" i="8"/>
  <c r="BE123" i="8"/>
  <c r="BE124" i="8"/>
  <c r="BE125" i="8"/>
  <c r="BE126" i="8"/>
  <c r="BE127" i="8"/>
  <c r="BE128" i="8"/>
  <c r="BE129" i="8"/>
  <c r="BE130" i="8"/>
  <c r="BE131" i="8"/>
  <c r="BE132" i="8"/>
  <c r="BE133" i="8"/>
  <c r="BE134" i="8"/>
  <c r="BE135" i="8"/>
  <c r="BE136" i="8"/>
  <c r="BE137" i="8"/>
  <c r="BE138" i="8"/>
  <c r="BE139" i="8"/>
  <c r="BE140" i="8"/>
  <c r="BE141" i="8"/>
  <c r="BE142" i="8"/>
  <c r="BE143" i="8"/>
  <c r="BE144" i="8"/>
  <c r="BE145" i="8"/>
  <c r="BE146" i="8"/>
  <c r="BE147" i="8"/>
  <c r="BE148" i="8"/>
  <c r="BE149" i="8"/>
  <c r="BE150" i="8"/>
  <c r="BE151" i="8"/>
  <c r="BE152" i="8"/>
  <c r="BE153" i="8"/>
  <c r="BE154" i="8"/>
  <c r="BE155" i="8"/>
  <c r="BE156" i="8"/>
  <c r="BE157" i="8"/>
  <c r="BE158" i="8"/>
  <c r="BE159" i="8"/>
  <c r="BE160" i="8"/>
  <c r="BE161" i="8"/>
  <c r="BE162" i="8"/>
  <c r="BE163" i="8"/>
  <c r="BE164" i="8"/>
  <c r="BE165" i="8"/>
  <c r="BE166" i="8"/>
  <c r="BE167" i="8"/>
  <c r="BE168" i="8"/>
  <c r="BE169" i="8"/>
  <c r="BE170" i="8"/>
  <c r="BE171" i="8"/>
  <c r="BE172" i="8"/>
  <c r="BE173" i="8"/>
  <c r="BE174" i="8"/>
  <c r="BE175" i="8"/>
  <c r="BE176" i="8"/>
  <c r="BE177" i="8"/>
  <c r="BE178" i="8"/>
  <c r="BE179" i="8"/>
  <c r="BE180" i="8"/>
  <c r="BE181" i="8"/>
  <c r="BE182" i="8"/>
  <c r="BE183" i="8"/>
  <c r="BE184" i="8"/>
  <c r="BE185" i="8"/>
  <c r="BE186" i="8"/>
  <c r="BE187" i="8"/>
  <c r="BE188" i="8"/>
  <c r="BE189" i="8"/>
  <c r="BE190" i="8"/>
  <c r="BE191" i="8"/>
  <c r="BE192" i="8"/>
  <c r="BE193" i="8"/>
  <c r="BE194" i="8"/>
  <c r="BE195" i="8"/>
  <c r="BE196" i="8"/>
  <c r="BE197" i="8"/>
  <c r="BE198" i="8"/>
  <c r="BE199" i="8"/>
  <c r="BE200" i="8"/>
  <c r="BE201" i="8"/>
  <c r="BE202" i="8"/>
  <c r="BE203" i="8"/>
  <c r="BE204" i="8"/>
  <c r="BE205" i="8"/>
  <c r="BE206" i="8"/>
  <c r="BE207" i="8"/>
  <c r="BE208" i="8"/>
  <c r="BE209" i="8"/>
  <c r="BE210" i="8"/>
  <c r="BE211" i="8"/>
  <c r="BE212" i="8"/>
  <c r="BE213" i="8"/>
  <c r="BE214" i="8"/>
  <c r="BE215" i="8"/>
  <c r="BE216" i="8"/>
  <c r="BE217" i="8"/>
  <c r="BE218" i="8"/>
  <c r="BE219" i="8"/>
  <c r="BE220" i="8"/>
  <c r="BE221" i="8"/>
  <c r="BE222" i="8"/>
  <c r="BE223" i="8"/>
  <c r="BE224" i="8"/>
  <c r="BE225" i="8"/>
  <c r="BE226" i="8"/>
  <c r="BE227" i="8"/>
  <c r="BE228" i="8"/>
  <c r="BE229" i="8"/>
  <c r="BE230" i="8"/>
  <c r="BE231" i="8"/>
  <c r="BE232" i="8"/>
  <c r="BE233" i="8"/>
  <c r="BE234" i="8"/>
  <c r="BE235" i="8"/>
  <c r="BE236" i="8"/>
  <c r="BE237" i="8"/>
  <c r="BE238" i="8"/>
  <c r="BE239" i="8"/>
  <c r="BE240" i="8"/>
  <c r="BE241" i="8"/>
  <c r="BE242" i="8"/>
  <c r="BE243" i="8"/>
  <c r="BE244" i="8"/>
  <c r="BE245" i="8"/>
  <c r="BE246" i="8"/>
  <c r="BE247" i="8"/>
  <c r="BE248" i="8"/>
  <c r="BE249" i="8"/>
  <c r="BE250" i="8"/>
  <c r="BE251" i="8"/>
  <c r="BE252" i="8"/>
  <c r="BE253" i="8"/>
  <c r="BE254" i="8"/>
  <c r="BE255" i="8"/>
  <c r="BE256" i="8"/>
  <c r="BE257" i="8"/>
  <c r="BE258" i="8"/>
  <c r="BE259" i="8"/>
  <c r="BE260" i="8"/>
  <c r="BE261" i="8"/>
  <c r="BE262" i="8"/>
  <c r="BE263" i="8"/>
  <c r="BE264" i="8"/>
  <c r="BE265" i="8"/>
  <c r="BE266" i="8"/>
  <c r="BE267" i="8"/>
  <c r="BE268" i="8"/>
  <c r="BE269" i="8"/>
  <c r="BE270" i="8"/>
  <c r="BE271" i="8"/>
  <c r="BE272" i="8"/>
  <c r="BE273" i="8"/>
  <c r="BE274" i="8"/>
  <c r="BE275" i="8"/>
  <c r="BE276" i="8"/>
  <c r="BE277" i="8"/>
  <c r="BE278" i="8"/>
  <c r="BE279" i="8"/>
  <c r="BE280" i="8"/>
  <c r="BE281" i="8"/>
  <c r="BE282" i="8"/>
  <c r="BE283" i="8"/>
  <c r="BE284" i="8"/>
  <c r="BE285" i="8"/>
  <c r="BE286" i="8"/>
  <c r="BE287" i="8"/>
  <c r="BE288" i="8"/>
  <c r="BE289" i="8"/>
  <c r="BE290" i="8"/>
  <c r="BE291" i="8"/>
  <c r="BE292" i="8"/>
  <c r="BE293" i="8"/>
  <c r="BE294" i="8"/>
  <c r="BE295" i="8"/>
  <c r="BE296" i="8"/>
  <c r="BE297" i="8"/>
  <c r="BE298" i="8"/>
  <c r="BE299" i="8"/>
  <c r="BE300" i="8"/>
  <c r="BE301" i="8"/>
  <c r="BE302" i="8"/>
  <c r="BE303" i="8"/>
  <c r="BE304" i="8"/>
  <c r="BE305" i="8"/>
  <c r="BE306" i="8"/>
  <c r="BE307" i="8"/>
  <c r="BE308" i="8"/>
  <c r="BE309" i="8"/>
  <c r="BE310" i="8"/>
  <c r="BE311" i="8"/>
  <c r="BE312" i="8"/>
  <c r="BE313" i="8"/>
  <c r="BE314" i="8"/>
  <c r="BE315" i="8"/>
  <c r="BE316" i="8"/>
  <c r="BE317" i="8"/>
  <c r="BE318" i="8"/>
  <c r="BE319" i="8"/>
  <c r="BE320" i="8"/>
  <c r="BE321" i="8"/>
  <c r="BE322" i="8"/>
  <c r="BE323" i="8"/>
  <c r="BE324" i="8"/>
  <c r="BE325" i="8"/>
  <c r="BE326" i="8"/>
  <c r="BE327" i="8"/>
  <c r="BE328" i="8"/>
  <c r="BE329" i="8"/>
  <c r="BE330" i="8"/>
  <c r="BE331" i="8"/>
  <c r="BE332" i="8"/>
  <c r="BE333" i="8"/>
  <c r="BE334" i="8"/>
  <c r="BE335" i="8"/>
  <c r="BE336" i="8"/>
  <c r="BE337" i="8"/>
  <c r="BE338" i="8"/>
  <c r="BE339" i="8"/>
  <c r="BE340" i="8"/>
  <c r="BE341" i="8"/>
  <c r="BE342" i="8"/>
  <c r="BE343" i="8"/>
  <c r="BE344" i="8"/>
  <c r="BE345" i="8"/>
  <c r="BE346" i="8"/>
  <c r="BE347" i="8"/>
  <c r="BE348" i="8"/>
  <c r="BE349" i="8"/>
  <c r="BE350" i="8"/>
  <c r="BE351" i="8"/>
  <c r="BE352" i="8"/>
  <c r="BE353" i="8"/>
  <c r="BE354" i="8"/>
  <c r="BE355" i="8"/>
  <c r="BE356" i="8"/>
  <c r="BE357" i="8"/>
  <c r="BE358" i="8"/>
  <c r="BE359" i="8"/>
  <c r="BE360" i="8"/>
  <c r="BE361" i="8"/>
  <c r="BE362" i="8"/>
  <c r="BE363" i="8"/>
  <c r="BE364" i="8"/>
  <c r="BE365" i="8"/>
  <c r="BE366" i="8"/>
  <c r="BE367" i="8"/>
  <c r="BE368" i="8"/>
  <c r="BE369" i="8"/>
  <c r="BE370" i="8"/>
  <c r="BE371" i="8"/>
  <c r="BE372" i="8"/>
  <c r="BE373" i="8"/>
  <c r="BE374" i="8"/>
  <c r="BE375" i="8"/>
  <c r="BE376" i="8"/>
  <c r="BE377" i="8"/>
  <c r="BE378" i="8"/>
  <c r="BE379" i="8"/>
  <c r="BE380" i="8"/>
  <c r="AR354" i="8" l="1"/>
  <c r="AR194" i="8"/>
  <c r="AQ320" i="8"/>
  <c r="AR272" i="8"/>
  <c r="AR80" i="8"/>
  <c r="AQ350" i="8"/>
  <c r="AQ254" i="8"/>
  <c r="AR384" i="8"/>
  <c r="AR211" i="8"/>
  <c r="AR115" i="8"/>
  <c r="AQ337" i="8"/>
  <c r="AR289" i="8"/>
  <c r="AR193" i="8"/>
  <c r="AR341" i="8"/>
  <c r="AR293" i="8"/>
  <c r="AR245" i="8"/>
  <c r="AQ197" i="8"/>
  <c r="AQ149" i="8"/>
  <c r="AQ101" i="8"/>
  <c r="AQ53" i="8"/>
  <c r="AR371" i="8"/>
  <c r="AR323" i="8"/>
  <c r="AR275" i="8"/>
  <c r="AQ227" i="8"/>
  <c r="AQ179" i="8"/>
  <c r="AR131" i="8"/>
  <c r="AQ83" i="8"/>
  <c r="AQ35" i="8"/>
  <c r="AR353" i="8"/>
  <c r="AR305" i="8"/>
  <c r="AQ257" i="8"/>
  <c r="AR209" i="8"/>
  <c r="AR161" i="8"/>
  <c r="AQ113" i="8"/>
  <c r="AQ65" i="8"/>
  <c r="AQ17" i="8"/>
  <c r="AQ335" i="8"/>
  <c r="AR287" i="8"/>
  <c r="AR239" i="8"/>
  <c r="AR191" i="8"/>
  <c r="AQ143" i="8"/>
  <c r="AQ95" i="8"/>
  <c r="AQ47" i="8"/>
  <c r="AR383" i="8"/>
  <c r="AQ306" i="8"/>
  <c r="AR64" i="8"/>
  <c r="AR318" i="8"/>
  <c r="AQ142" i="8"/>
  <c r="AQ348" i="8"/>
  <c r="AQ81" i="8"/>
  <c r="AR159" i="8"/>
  <c r="AR63" i="8"/>
  <c r="AR237" i="8"/>
  <c r="AR141" i="8"/>
  <c r="AQ27" i="8"/>
  <c r="AQ236" i="8"/>
  <c r="AQ140" i="8"/>
  <c r="AQ170" i="8"/>
  <c r="AQ122" i="8"/>
  <c r="AQ58" i="8"/>
  <c r="AQ56" i="8"/>
  <c r="AQ283" i="8"/>
  <c r="AQ235" i="8"/>
  <c r="AQ121" i="8"/>
  <c r="AR316" i="8"/>
  <c r="AR300" i="8"/>
  <c r="AR220" i="8"/>
  <c r="AR108" i="8"/>
  <c r="AQ378" i="8"/>
  <c r="AR346" i="8"/>
  <c r="AR298" i="8"/>
  <c r="AR106" i="8"/>
  <c r="AQ376" i="8"/>
  <c r="AQ120" i="8"/>
  <c r="AQ40" i="8"/>
  <c r="AR382" i="8"/>
  <c r="AR219" i="8"/>
  <c r="AR27" i="8"/>
  <c r="AQ87" i="8"/>
  <c r="AQ39" i="8"/>
  <c r="AR381" i="8"/>
  <c r="AR90" i="8"/>
  <c r="AR344" i="8"/>
  <c r="AQ264" i="8"/>
  <c r="AR248" i="8"/>
  <c r="AQ200" i="8"/>
  <c r="AQ168" i="8"/>
  <c r="AQ152" i="8"/>
  <c r="AR56" i="8"/>
  <c r="AQ68" i="8"/>
  <c r="AQ384" i="8"/>
  <c r="AR187" i="8"/>
  <c r="AR91" i="8"/>
  <c r="AR265" i="8"/>
  <c r="AR169" i="8"/>
  <c r="AQ365" i="8"/>
  <c r="AR317" i="8"/>
  <c r="AR269" i="8"/>
  <c r="AR221" i="8"/>
  <c r="AQ173" i="8"/>
  <c r="AQ125" i="8"/>
  <c r="AR77" i="8"/>
  <c r="AQ29" i="8"/>
  <c r="AR347" i="8"/>
  <c r="AR299" i="8"/>
  <c r="AQ251" i="8"/>
  <c r="AQ203" i="8"/>
  <c r="AQ155" i="8"/>
  <c r="AR107" i="8"/>
  <c r="AQ59" i="8"/>
  <c r="AR377" i="8"/>
  <c r="AR329" i="8"/>
  <c r="AQ281" i="8"/>
  <c r="AQ233" i="8"/>
  <c r="AR185" i="8"/>
  <c r="AR137" i="8"/>
  <c r="AQ89" i="8"/>
  <c r="AQ41" i="8"/>
  <c r="AR359" i="8"/>
  <c r="AQ311" i="8"/>
  <c r="AR263" i="8"/>
  <c r="AR215" i="8"/>
  <c r="AQ167" i="8"/>
  <c r="AQ119" i="8"/>
  <c r="AQ71" i="8"/>
  <c r="AQ383" i="8"/>
  <c r="AQ138" i="8"/>
  <c r="AQ42" i="8"/>
  <c r="AR328" i="8"/>
  <c r="AR168" i="8"/>
  <c r="AQ262" i="8"/>
  <c r="AR246" i="8"/>
  <c r="AQ228" i="8"/>
  <c r="AQ196" i="8"/>
  <c r="AQ180" i="8"/>
  <c r="AQ148" i="8"/>
  <c r="AQ382" i="8"/>
  <c r="AR327" i="8"/>
  <c r="AR135" i="8"/>
  <c r="AR39" i="8"/>
  <c r="AQ309" i="8"/>
  <c r="AR117" i="8"/>
  <c r="AQ339" i="8"/>
  <c r="AQ291" i="8"/>
  <c r="AQ381" i="8"/>
  <c r="AR374" i="8"/>
  <c r="AR326" i="8"/>
  <c r="AR38" i="8"/>
  <c r="AR356" i="8"/>
  <c r="AR116" i="8"/>
  <c r="AQ290" i="8"/>
  <c r="AQ67" i="8"/>
  <c r="AQ70" i="8"/>
  <c r="AR132" i="8"/>
  <c r="AR36" i="8"/>
  <c r="AR274" i="8"/>
  <c r="AQ226" i="8"/>
  <c r="AQ210" i="8"/>
  <c r="AQ178" i="8"/>
  <c r="AQ114" i="8"/>
  <c r="AR82" i="8"/>
  <c r="AQ66" i="8"/>
  <c r="AQ256" i="8"/>
  <c r="AQ208" i="8"/>
  <c r="AQ112" i="8"/>
  <c r="AQ94" i="8"/>
  <c r="AR213" i="8"/>
  <c r="AQ69" i="8"/>
  <c r="AR291" i="8"/>
  <c r="AR195" i="8"/>
  <c r="AQ369" i="8"/>
  <c r="AQ321" i="8"/>
  <c r="AR273" i="8"/>
  <c r="AQ93" i="8"/>
  <c r="BF151" i="8"/>
  <c r="BG151" i="8" s="1"/>
  <c r="BF380" i="8"/>
  <c r="BG380" i="8" s="1"/>
  <c r="BF332" i="8"/>
  <c r="BG332" i="8" s="1"/>
  <c r="BF60" i="8"/>
  <c r="BG60" i="8" s="1"/>
  <c r="BF252" i="8"/>
  <c r="BG252" i="8" s="1"/>
  <c r="BF156" i="8"/>
  <c r="BG156" i="8" s="1"/>
  <c r="BF330" i="8"/>
  <c r="BG330" i="8" s="1"/>
  <c r="BF234" i="8"/>
  <c r="BG234" i="8" s="1"/>
  <c r="BF90" i="8"/>
  <c r="BG90" i="8" s="1"/>
  <c r="BF233" i="8"/>
  <c r="BG233" i="8" s="1"/>
  <c r="BF185" i="8"/>
  <c r="BG185" i="8" s="1"/>
  <c r="BF89" i="8"/>
  <c r="BG89" i="8" s="1"/>
  <c r="BF57" i="8"/>
  <c r="BG57" i="8" s="1"/>
  <c r="BF41" i="8"/>
  <c r="BG41" i="8" s="1"/>
  <c r="BF263" i="8"/>
  <c r="BG263" i="8" s="1"/>
  <c r="BF167" i="8"/>
  <c r="BG167" i="8" s="1"/>
  <c r="BF287" i="8"/>
  <c r="BG287" i="8" s="1"/>
  <c r="BF40" i="8"/>
  <c r="BG40" i="8" s="1"/>
  <c r="BF292" i="8"/>
  <c r="BG292" i="8" s="1"/>
  <c r="BF230" i="8"/>
  <c r="BG230" i="8" s="1"/>
  <c r="BF356" i="8"/>
  <c r="BG356" i="8" s="1"/>
  <c r="BF355" i="8"/>
  <c r="BG355" i="8" s="1"/>
  <c r="BF307" i="8"/>
  <c r="BG307" i="8" s="1"/>
  <c r="BF259" i="8"/>
  <c r="BG259" i="8" s="1"/>
  <c r="BF115" i="8"/>
  <c r="BG115" i="8" s="1"/>
  <c r="BF19" i="8"/>
  <c r="BG19" i="8" s="1"/>
  <c r="BF84" i="8"/>
  <c r="BG84" i="8" s="1"/>
  <c r="BF36" i="8"/>
  <c r="BG36" i="8" s="1"/>
  <c r="BF306" i="8"/>
  <c r="BG306" i="8" s="1"/>
  <c r="BF114" i="8"/>
  <c r="BG114" i="8" s="1"/>
  <c r="BF18" i="8"/>
  <c r="BG18" i="8" s="1"/>
  <c r="BF305" i="8"/>
  <c r="BG305" i="8" s="1"/>
  <c r="BF257" i="8"/>
  <c r="BG257" i="8" s="1"/>
  <c r="BF17" i="8"/>
  <c r="BG17" i="8" s="1"/>
  <c r="BF335" i="8"/>
  <c r="BG335" i="8" s="1"/>
  <c r="BF95" i="8"/>
  <c r="BG95" i="8" s="1"/>
  <c r="BF221" i="8"/>
  <c r="BG221" i="8" s="1"/>
  <c r="BF173" i="8"/>
  <c r="BG173" i="8" s="1"/>
  <c r="BF329" i="8"/>
  <c r="BG329" i="8" s="1"/>
  <c r="BF133" i="8"/>
  <c r="BG133" i="8" s="1"/>
  <c r="BF205" i="8"/>
  <c r="BG205" i="8" s="1"/>
  <c r="BF61" i="8"/>
  <c r="BG61" i="8" s="1"/>
  <c r="BF222" i="8"/>
  <c r="BG222" i="8" s="1"/>
  <c r="BF172" i="8"/>
  <c r="BG172" i="8" s="1"/>
  <c r="BF384" i="8"/>
  <c r="BG384" i="8" s="1"/>
  <c r="BF383" i="8"/>
  <c r="BG383" i="8" s="1"/>
  <c r="BF382" i="8"/>
  <c r="BG382" i="8" s="1"/>
  <c r="BF381" i="8"/>
  <c r="BG381" i="8" s="1"/>
  <c r="BF206" i="8"/>
  <c r="BG206" i="8" s="1"/>
  <c r="BF251" i="8"/>
  <c r="BG251" i="8" s="1"/>
  <c r="BF107" i="8"/>
  <c r="BG107" i="8" s="1"/>
  <c r="BF359" i="8"/>
  <c r="BG359" i="8" s="1"/>
  <c r="BF100" i="8"/>
  <c r="BG100" i="8" s="1"/>
  <c r="BF328" i="8"/>
  <c r="BG328" i="8" s="1"/>
  <c r="BF280" i="8"/>
  <c r="BG280" i="8" s="1"/>
  <c r="BF136" i="8"/>
  <c r="BG136" i="8" s="1"/>
  <c r="BF88" i="8"/>
  <c r="BG88" i="8" s="1"/>
  <c r="BF64" i="8"/>
  <c r="BG64" i="8" s="1"/>
  <c r="BF16" i="8"/>
  <c r="BG16" i="8" s="1"/>
  <c r="BF76" i="8"/>
  <c r="BG76" i="8" s="1"/>
  <c r="BF304" i="8"/>
  <c r="BG304" i="8" s="1"/>
  <c r="BF232" i="8"/>
  <c r="BG232" i="8" s="1"/>
  <c r="BF112" i="8"/>
  <c r="BG112" i="8" s="1"/>
  <c r="BF357" i="8"/>
  <c r="BG357" i="8" s="1"/>
  <c r="BF363" i="8"/>
  <c r="BG363" i="8" s="1"/>
  <c r="BF315" i="8"/>
  <c r="BG315" i="8" s="1"/>
  <c r="BF291" i="8"/>
  <c r="BG291" i="8" s="1"/>
  <c r="BF267" i="8"/>
  <c r="BG267" i="8" s="1"/>
  <c r="BF219" i="8"/>
  <c r="BG219" i="8" s="1"/>
  <c r="BF195" i="8"/>
  <c r="BG195" i="8" s="1"/>
  <c r="BF171" i="8"/>
  <c r="BG171" i="8" s="1"/>
  <c r="BF147" i="8"/>
  <c r="BG147" i="8" s="1"/>
  <c r="BF123" i="8"/>
  <c r="BG123" i="8" s="1"/>
  <c r="BF99" i="8"/>
  <c r="BG99" i="8" s="1"/>
  <c r="BF75" i="8"/>
  <c r="BG75" i="8" s="1"/>
  <c r="BF51" i="8"/>
  <c r="BG51" i="8" s="1"/>
  <c r="BF27" i="8"/>
  <c r="BG27" i="8" s="1"/>
  <c r="BF369" i="8"/>
  <c r="BG369" i="8" s="1"/>
  <c r="BF345" i="8"/>
  <c r="BG345" i="8" s="1"/>
  <c r="BF321" i="8"/>
  <c r="BG321" i="8" s="1"/>
  <c r="BF273" i="8"/>
  <c r="BG273" i="8" s="1"/>
  <c r="BF249" i="8"/>
  <c r="BG249" i="8" s="1"/>
  <c r="BF177" i="8"/>
  <c r="BG177" i="8" s="1"/>
  <c r="BF129" i="8"/>
  <c r="BG129" i="8" s="1"/>
  <c r="BF105" i="8"/>
  <c r="BG105" i="8" s="1"/>
  <c r="BF33" i="8"/>
  <c r="BG33" i="8" s="1"/>
  <c r="BF375" i="8"/>
  <c r="BG375" i="8" s="1"/>
  <c r="BF303" i="8"/>
  <c r="BG303" i="8" s="1"/>
  <c r="BF279" i="8"/>
  <c r="BG279" i="8" s="1"/>
  <c r="BF231" i="8"/>
  <c r="BG231" i="8" s="1"/>
  <c r="BF207" i="8"/>
  <c r="BG207" i="8" s="1"/>
  <c r="BF159" i="8"/>
  <c r="BG159" i="8" s="1"/>
  <c r="BF135" i="8"/>
  <c r="BG135" i="8" s="1"/>
  <c r="BF87" i="8"/>
  <c r="BG87" i="8" s="1"/>
  <c r="BF63" i="8"/>
  <c r="BG63" i="8" s="1"/>
  <c r="BF15" i="8"/>
  <c r="BG15" i="8" s="1"/>
  <c r="BF368" i="8"/>
  <c r="BG368" i="8" s="1"/>
  <c r="BF320" i="8"/>
  <c r="BG320" i="8" s="1"/>
  <c r="BF319" i="8"/>
  <c r="BG319" i="8" s="1"/>
  <c r="BF78" i="8"/>
  <c r="BG78" i="8" s="1"/>
  <c r="BF376" i="8"/>
  <c r="BG376" i="8" s="1"/>
  <c r="BF256" i="8"/>
  <c r="BG256" i="8" s="1"/>
  <c r="BF208" i="8"/>
  <c r="BG208" i="8" s="1"/>
  <c r="BF184" i="8"/>
  <c r="BG184" i="8" s="1"/>
  <c r="BF244" i="8"/>
  <c r="BG244" i="8" s="1"/>
  <c r="AR155" i="8"/>
  <c r="AQ305" i="8"/>
  <c r="AQ221" i="8"/>
  <c r="AQ137" i="8"/>
  <c r="AQ107" i="8"/>
  <c r="AR365" i="8"/>
  <c r="AR311" i="8"/>
  <c r="AR179" i="8"/>
  <c r="AQ275" i="8"/>
  <c r="AQ191" i="8"/>
  <c r="AQ77" i="8"/>
  <c r="AR257" i="8"/>
  <c r="AR125" i="8"/>
  <c r="AR47" i="8"/>
  <c r="AQ359" i="8"/>
  <c r="AQ245" i="8"/>
  <c r="AR203" i="8"/>
  <c r="AQ329" i="8"/>
  <c r="AQ161" i="8"/>
  <c r="AQ131" i="8"/>
  <c r="AR335" i="8"/>
  <c r="AR281" i="8"/>
  <c r="AR149" i="8"/>
  <c r="AR71" i="8"/>
  <c r="AQ299" i="8"/>
  <c r="AR227" i="8"/>
  <c r="AQ269" i="8"/>
  <c r="AQ215" i="8"/>
  <c r="AR173" i="8"/>
  <c r="AR95" i="8"/>
  <c r="AR17" i="8"/>
  <c r="BF148" i="8"/>
  <c r="BG148" i="8" s="1"/>
  <c r="AR251" i="8"/>
  <c r="AQ353" i="8"/>
  <c r="AQ185" i="8"/>
  <c r="BF268" i="8"/>
  <c r="BG268" i="8" s="1"/>
  <c r="AR197" i="8"/>
  <c r="AR119" i="8"/>
  <c r="AR41" i="8"/>
  <c r="AQ323" i="8"/>
  <c r="AQ293" i="8"/>
  <c r="AQ239" i="8"/>
  <c r="BF124" i="8"/>
  <c r="BG124" i="8" s="1"/>
  <c r="BF339" i="8"/>
  <c r="BG339" i="8" s="1"/>
  <c r="BF220" i="8"/>
  <c r="BG220" i="8" s="1"/>
  <c r="BF333" i="8"/>
  <c r="BG333" i="8" s="1"/>
  <c r="AR143" i="8"/>
  <c r="AR65" i="8"/>
  <c r="AQ237" i="8"/>
  <c r="BF28" i="8"/>
  <c r="BG28" i="8" s="1"/>
  <c r="BF243" i="8"/>
  <c r="BG243" i="8" s="1"/>
  <c r="AR142" i="8"/>
  <c r="AQ377" i="8"/>
  <c r="AQ263" i="8"/>
  <c r="AQ209" i="8"/>
  <c r="BF316" i="8"/>
  <c r="BG316" i="8" s="1"/>
  <c r="AR167" i="8"/>
  <c r="AR89" i="8"/>
  <c r="AQ347" i="8"/>
  <c r="AQ317" i="8"/>
  <c r="AQ289" i="8"/>
  <c r="BF362" i="8"/>
  <c r="BG362" i="8" s="1"/>
  <c r="BF290" i="8"/>
  <c r="BG290" i="8" s="1"/>
  <c r="BF194" i="8"/>
  <c r="BG194" i="8" s="1"/>
  <c r="BF146" i="8"/>
  <c r="BG146" i="8" s="1"/>
  <c r="BF50" i="8"/>
  <c r="BG50" i="8" s="1"/>
  <c r="BF344" i="8"/>
  <c r="BG344" i="8" s="1"/>
  <c r="BF272" i="8"/>
  <c r="BG272" i="8" s="1"/>
  <c r="BF248" i="8"/>
  <c r="BG248" i="8" s="1"/>
  <c r="BF176" i="8"/>
  <c r="BG176" i="8" s="1"/>
  <c r="BF128" i="8"/>
  <c r="BG128" i="8" s="1"/>
  <c r="BF104" i="8"/>
  <c r="BG104" i="8" s="1"/>
  <c r="BF56" i="8"/>
  <c r="BG56" i="8" s="1"/>
  <c r="AR35" i="8"/>
  <c r="BF361" i="8"/>
  <c r="BG361" i="8" s="1"/>
  <c r="BF289" i="8"/>
  <c r="BG289" i="8" s="1"/>
  <c r="BF217" i="8"/>
  <c r="BG217" i="8" s="1"/>
  <c r="BF193" i="8"/>
  <c r="BG193" i="8" s="1"/>
  <c r="BF145" i="8"/>
  <c r="BG145" i="8" s="1"/>
  <c r="BF121" i="8"/>
  <c r="BG121" i="8" s="1"/>
  <c r="BF49" i="8"/>
  <c r="BG49" i="8" s="1"/>
  <c r="BF367" i="8"/>
  <c r="BG367" i="8" s="1"/>
  <c r="BF343" i="8"/>
  <c r="BG343" i="8" s="1"/>
  <c r="BF295" i="8"/>
  <c r="BG295" i="8" s="1"/>
  <c r="BF271" i="8"/>
  <c r="BG271" i="8" s="1"/>
  <c r="BF247" i="8"/>
  <c r="BG247" i="8" s="1"/>
  <c r="BF223" i="8"/>
  <c r="BG223" i="8" s="1"/>
  <c r="BF199" i="8"/>
  <c r="BG199" i="8" s="1"/>
  <c r="BF175" i="8"/>
  <c r="BG175" i="8" s="1"/>
  <c r="BF103" i="8"/>
  <c r="BG103" i="8" s="1"/>
  <c r="BF79" i="8"/>
  <c r="BG79" i="8" s="1"/>
  <c r="BF31" i="8"/>
  <c r="BG31" i="8" s="1"/>
  <c r="AR113" i="8"/>
  <c r="AQ287" i="8"/>
  <c r="BF336" i="8"/>
  <c r="BG336" i="8" s="1"/>
  <c r="BF72" i="8"/>
  <c r="BG72" i="8" s="1"/>
  <c r="BF342" i="8"/>
  <c r="BG342" i="8" s="1"/>
  <c r="BF294" i="8"/>
  <c r="BG294" i="8" s="1"/>
  <c r="BF246" i="8"/>
  <c r="BG246" i="8" s="1"/>
  <c r="BF174" i="8"/>
  <c r="BG174" i="8" s="1"/>
  <c r="BF150" i="8"/>
  <c r="BG150" i="8" s="1"/>
  <c r="BF30" i="8"/>
  <c r="BG30" i="8" s="1"/>
  <c r="AR59" i="8"/>
  <c r="BF371" i="8"/>
  <c r="BG371" i="8" s="1"/>
  <c r="BF347" i="8"/>
  <c r="BG347" i="8" s="1"/>
  <c r="BF323" i="8"/>
  <c r="BG323" i="8" s="1"/>
  <c r="BF275" i="8"/>
  <c r="BG275" i="8" s="1"/>
  <c r="BF179" i="8"/>
  <c r="BG179" i="8" s="1"/>
  <c r="AQ371" i="8"/>
  <c r="AQ341" i="8"/>
  <c r="BF216" i="8"/>
  <c r="BG216" i="8" s="1"/>
  <c r="BF215" i="8"/>
  <c r="BG215" i="8" s="1"/>
  <c r="BF71" i="8"/>
  <c r="BG71" i="8" s="1"/>
  <c r="BF149" i="8"/>
  <c r="BG149" i="8" s="1"/>
  <c r="AR83" i="8"/>
  <c r="BF192" i="8"/>
  <c r="BG192" i="8" s="1"/>
  <c r="BF131" i="8"/>
  <c r="BG131" i="8" s="1"/>
  <c r="BF119" i="8"/>
  <c r="BG119" i="8" s="1"/>
  <c r="BF293" i="8"/>
  <c r="BG293" i="8" s="1"/>
  <c r="BF101" i="8"/>
  <c r="BG101" i="8" s="1"/>
  <c r="BF201" i="8"/>
  <c r="BG201" i="8" s="1"/>
  <c r="BF351" i="8"/>
  <c r="BG351" i="8" s="1"/>
  <c r="BF327" i="8"/>
  <c r="BG327" i="8" s="1"/>
  <c r="BF255" i="8"/>
  <c r="BG255" i="8" s="1"/>
  <c r="BF183" i="8"/>
  <c r="BG183" i="8" s="1"/>
  <c r="BF111" i="8"/>
  <c r="BG111" i="8" s="1"/>
  <c r="BF39" i="8"/>
  <c r="BG39" i="8" s="1"/>
  <c r="AR29" i="8"/>
  <c r="BF144" i="8"/>
  <c r="BG144" i="8" s="1"/>
  <c r="BF191" i="8"/>
  <c r="BG191" i="8" s="1"/>
  <c r="BF29" i="8"/>
  <c r="BG29" i="8" s="1"/>
  <c r="BF160" i="8"/>
  <c r="BG160" i="8" s="1"/>
  <c r="BF120" i="8"/>
  <c r="BG120" i="8" s="1"/>
  <c r="BF311" i="8"/>
  <c r="BG311" i="8" s="1"/>
  <c r="BF245" i="8"/>
  <c r="BG245" i="8" s="1"/>
  <c r="BF77" i="8"/>
  <c r="BG77" i="8" s="1"/>
  <c r="AR53" i="8"/>
  <c r="BF288" i="8"/>
  <c r="BG288" i="8" s="1"/>
  <c r="AR342" i="8"/>
  <c r="AQ206" i="8"/>
  <c r="AQ182" i="8"/>
  <c r="AQ158" i="8"/>
  <c r="AQ134" i="8"/>
  <c r="AQ110" i="8"/>
  <c r="AQ86" i="8"/>
  <c r="AQ62" i="8"/>
  <c r="AQ38" i="8"/>
  <c r="BF360" i="8"/>
  <c r="BG360" i="8" s="1"/>
  <c r="BF158" i="8"/>
  <c r="BG158" i="8" s="1"/>
  <c r="BF134" i="8"/>
  <c r="BG134" i="8" s="1"/>
  <c r="BF301" i="8"/>
  <c r="BG301" i="8" s="1"/>
  <c r="BF157" i="8"/>
  <c r="BG157" i="8" s="1"/>
  <c r="BF163" i="8"/>
  <c r="BG163" i="8" s="1"/>
  <c r="BF372" i="8"/>
  <c r="BG372" i="8" s="1"/>
  <c r="BF348" i="8"/>
  <c r="BG348" i="8" s="1"/>
  <c r="BF324" i="8"/>
  <c r="BG324" i="8" s="1"/>
  <c r="BF300" i="8"/>
  <c r="BG300" i="8" s="1"/>
  <c r="BF204" i="8"/>
  <c r="BG204" i="8" s="1"/>
  <c r="BF42" i="8"/>
  <c r="BG42" i="8" s="1"/>
  <c r="BF374" i="8"/>
  <c r="BG374" i="8" s="1"/>
  <c r="BF302" i="8"/>
  <c r="BG302" i="8" s="1"/>
  <c r="BF86" i="8"/>
  <c r="BG86" i="8" s="1"/>
  <c r="BF62" i="8"/>
  <c r="BG62" i="8" s="1"/>
  <c r="BF314" i="8"/>
  <c r="BG314" i="8" s="1"/>
  <c r="BF266" i="8"/>
  <c r="BG266" i="8" s="1"/>
  <c r="BF242" i="8"/>
  <c r="BG242" i="8" s="1"/>
  <c r="BF218" i="8"/>
  <c r="BG218" i="8" s="1"/>
  <c r="BF170" i="8"/>
  <c r="BG170" i="8" s="1"/>
  <c r="BF122" i="8"/>
  <c r="BG122" i="8" s="1"/>
  <c r="BF74" i="8"/>
  <c r="BG74" i="8" s="1"/>
  <c r="BF200" i="8"/>
  <c r="BG200" i="8" s="1"/>
  <c r="BF32" i="8"/>
  <c r="BG32" i="8" s="1"/>
  <c r="BF350" i="8"/>
  <c r="BG350" i="8" s="1"/>
  <c r="BF278" i="8"/>
  <c r="BG278" i="8" s="1"/>
  <c r="BF373" i="8"/>
  <c r="BG373" i="8" s="1"/>
  <c r="BF349" i="8"/>
  <c r="BG349" i="8" s="1"/>
  <c r="BF277" i="8"/>
  <c r="BG277" i="8" s="1"/>
  <c r="BF229" i="8"/>
  <c r="BG229" i="8" s="1"/>
  <c r="BF85" i="8"/>
  <c r="BG85" i="8" s="1"/>
  <c r="BF379" i="8"/>
  <c r="BG379" i="8" s="1"/>
  <c r="BF331" i="8"/>
  <c r="BG331" i="8" s="1"/>
  <c r="BF235" i="8"/>
  <c r="BG235" i="8" s="1"/>
  <c r="BF211" i="8"/>
  <c r="BG211" i="8" s="1"/>
  <c r="BF187" i="8"/>
  <c r="BG187" i="8" s="1"/>
  <c r="BF91" i="8"/>
  <c r="BG91" i="8" s="1"/>
  <c r="BF43" i="8"/>
  <c r="BG43" i="8" s="1"/>
  <c r="BF337" i="8"/>
  <c r="BG337" i="8" s="1"/>
  <c r="BF265" i="8"/>
  <c r="BG265" i="8" s="1"/>
  <c r="BF73" i="8"/>
  <c r="BG73" i="8" s="1"/>
  <c r="BF127" i="8"/>
  <c r="BG127" i="8" s="1"/>
  <c r="BF228" i="8"/>
  <c r="BG228" i="8" s="1"/>
  <c r="BF180" i="8"/>
  <c r="BG180" i="8" s="1"/>
  <c r="BF132" i="8"/>
  <c r="BG132" i="8" s="1"/>
  <c r="BF108" i="8"/>
  <c r="BG108" i="8" s="1"/>
  <c r="BF354" i="8"/>
  <c r="BG354" i="8" s="1"/>
  <c r="BF258" i="8"/>
  <c r="BG258" i="8" s="1"/>
  <c r="BF186" i="8"/>
  <c r="BG186" i="8" s="1"/>
  <c r="BF162" i="8"/>
  <c r="BG162" i="8" s="1"/>
  <c r="BF264" i="8"/>
  <c r="BG264" i="8" s="1"/>
  <c r="BF48" i="8"/>
  <c r="BG48" i="8" s="1"/>
  <c r="BF318" i="8"/>
  <c r="BG318" i="8" s="1"/>
  <c r="BF102" i="8"/>
  <c r="BG102" i="8" s="1"/>
  <c r="BF276" i="8"/>
  <c r="BG276" i="8" s="1"/>
  <c r="BF203" i="8"/>
  <c r="BG203" i="8" s="1"/>
  <c r="BF59" i="8"/>
  <c r="BG59" i="8" s="1"/>
  <c r="BF35" i="8"/>
  <c r="BG35" i="8" s="1"/>
  <c r="BF353" i="8"/>
  <c r="BG353" i="8" s="1"/>
  <c r="BF161" i="8"/>
  <c r="BG161" i="8" s="1"/>
  <c r="BF113" i="8"/>
  <c r="BG113" i="8" s="1"/>
  <c r="BF239" i="8"/>
  <c r="BG239" i="8" s="1"/>
  <c r="BF143" i="8"/>
  <c r="BG143" i="8" s="1"/>
  <c r="BF47" i="8"/>
  <c r="BG47" i="8" s="1"/>
  <c r="BF23" i="8"/>
  <c r="BG23" i="8" s="1"/>
  <c r="BF341" i="8"/>
  <c r="BG341" i="8" s="1"/>
  <c r="BF317" i="8"/>
  <c r="BG317" i="8" s="1"/>
  <c r="AQ367" i="8"/>
  <c r="AR367" i="8"/>
  <c r="AQ343" i="8"/>
  <c r="AR343" i="8"/>
  <c r="AQ319" i="8"/>
  <c r="AR319" i="8"/>
  <c r="AQ295" i="8"/>
  <c r="AR295" i="8"/>
  <c r="AQ271" i="8"/>
  <c r="AR271" i="8"/>
  <c r="AQ247" i="8"/>
  <c r="AR247" i="8"/>
  <c r="AQ223" i="8"/>
  <c r="AR223" i="8"/>
  <c r="AQ199" i="8"/>
  <c r="AR199" i="8"/>
  <c r="AQ175" i="8"/>
  <c r="AR175" i="8"/>
  <c r="AQ151" i="8"/>
  <c r="AR151" i="8"/>
  <c r="AQ127" i="8"/>
  <c r="AR127" i="8"/>
  <c r="AQ103" i="8"/>
  <c r="AR103" i="8"/>
  <c r="AQ79" i="8"/>
  <c r="AR79" i="8"/>
  <c r="AQ55" i="8"/>
  <c r="AR55" i="8"/>
  <c r="AQ31" i="8"/>
  <c r="AR31" i="8"/>
  <c r="AQ373" i="8"/>
  <c r="AR373" i="8"/>
  <c r="AQ349" i="8"/>
  <c r="AR349" i="8"/>
  <c r="AQ325" i="8"/>
  <c r="AR325" i="8"/>
  <c r="AQ301" i="8"/>
  <c r="AR301" i="8"/>
  <c r="AQ277" i="8"/>
  <c r="AR277" i="8"/>
  <c r="AQ253" i="8"/>
  <c r="AR253" i="8"/>
  <c r="AQ229" i="8"/>
  <c r="AR229" i="8"/>
  <c r="AQ205" i="8"/>
  <c r="AR205" i="8"/>
  <c r="AQ181" i="8"/>
  <c r="AR181" i="8"/>
  <c r="AQ157" i="8"/>
  <c r="AR157" i="8"/>
  <c r="AQ133" i="8"/>
  <c r="AR133" i="8"/>
  <c r="AQ109" i="8"/>
  <c r="AR109" i="8"/>
  <c r="AQ85" i="8"/>
  <c r="AR85" i="8"/>
  <c r="AQ61" i="8"/>
  <c r="AR61" i="8"/>
  <c r="AQ37" i="8"/>
  <c r="AR37" i="8"/>
  <c r="AQ379" i="8"/>
  <c r="AR379" i="8"/>
  <c r="AQ355" i="8"/>
  <c r="AR355" i="8"/>
  <c r="AQ331" i="8"/>
  <c r="AR331" i="8"/>
  <c r="AQ307" i="8"/>
  <c r="AR307" i="8"/>
  <c r="BF352" i="8"/>
  <c r="BG352" i="8" s="1"/>
  <c r="BF297" i="8"/>
  <c r="BG297" i="8" s="1"/>
  <c r="BF225" i="8"/>
  <c r="BG225" i="8" s="1"/>
  <c r="BF153" i="8"/>
  <c r="BG153" i="8" s="1"/>
  <c r="BF81" i="8"/>
  <c r="BG81" i="8" s="1"/>
  <c r="BF98" i="8"/>
  <c r="BG98" i="8" s="1"/>
  <c r="BF26" i="8"/>
  <c r="BG26" i="8" s="1"/>
  <c r="BF296" i="8"/>
  <c r="BG296" i="8" s="1"/>
  <c r="BF224" i="8"/>
  <c r="BG224" i="8" s="1"/>
  <c r="BF152" i="8"/>
  <c r="BG152" i="8" s="1"/>
  <c r="BF80" i="8"/>
  <c r="BG80" i="8" s="1"/>
  <c r="BF326" i="8"/>
  <c r="BG326" i="8" s="1"/>
  <c r="BF254" i="8"/>
  <c r="BG254" i="8" s="1"/>
  <c r="BF182" i="8"/>
  <c r="BG182" i="8" s="1"/>
  <c r="BF110" i="8"/>
  <c r="BG110" i="8" s="1"/>
  <c r="BF38" i="8"/>
  <c r="BG38" i="8" s="1"/>
  <c r="BF338" i="8"/>
  <c r="BG338" i="8" s="1"/>
  <c r="BF139" i="8"/>
  <c r="BG139" i="8" s="1"/>
  <c r="BF67" i="8"/>
  <c r="BG67" i="8" s="1"/>
  <c r="BF241" i="8"/>
  <c r="BG241" i="8" s="1"/>
  <c r="BF97" i="8"/>
  <c r="BG97" i="8" s="1"/>
  <c r="BF55" i="8"/>
  <c r="BG55" i="8" s="1"/>
  <c r="BF325" i="8"/>
  <c r="BG325" i="8" s="1"/>
  <c r="BF253" i="8"/>
  <c r="BG253" i="8" s="1"/>
  <c r="BF181" i="8"/>
  <c r="BG181" i="8" s="1"/>
  <c r="BF109" i="8"/>
  <c r="BG109" i="8" s="1"/>
  <c r="BF37" i="8"/>
  <c r="BG37" i="8" s="1"/>
  <c r="BF283" i="8"/>
  <c r="BG283" i="8" s="1"/>
  <c r="BF313" i="8"/>
  <c r="BG313" i="8" s="1"/>
  <c r="BF169" i="8"/>
  <c r="BG169" i="8" s="1"/>
  <c r="BF25" i="8"/>
  <c r="BG25" i="8" s="1"/>
  <c r="BF366" i="8"/>
  <c r="BG366" i="8" s="1"/>
  <c r="BF270" i="8"/>
  <c r="BG270" i="8" s="1"/>
  <c r="BF198" i="8"/>
  <c r="BG198" i="8" s="1"/>
  <c r="BF126" i="8"/>
  <c r="BG126" i="8" s="1"/>
  <c r="BF54" i="8"/>
  <c r="BG54" i="8" s="1"/>
  <c r="BF378" i="8"/>
  <c r="BG378" i="8" s="1"/>
  <c r="BF282" i="8"/>
  <c r="BG282" i="8" s="1"/>
  <c r="BF210" i="8"/>
  <c r="BG210" i="8" s="1"/>
  <c r="BF138" i="8"/>
  <c r="BG138" i="8" s="1"/>
  <c r="BF66" i="8"/>
  <c r="BG66" i="8" s="1"/>
  <c r="BF312" i="8"/>
  <c r="BG312" i="8" s="1"/>
  <c r="BF240" i="8"/>
  <c r="BG240" i="8" s="1"/>
  <c r="BF168" i="8"/>
  <c r="BG168" i="8" s="1"/>
  <c r="BF96" i="8"/>
  <c r="BG96" i="8" s="1"/>
  <c r="BF24" i="8"/>
  <c r="BG24" i="8" s="1"/>
  <c r="BF65" i="8"/>
  <c r="BG65" i="8" s="1"/>
  <c r="BF365" i="8"/>
  <c r="BG365" i="8" s="1"/>
  <c r="BF269" i="8"/>
  <c r="BG269" i="8" s="1"/>
  <c r="BF197" i="8"/>
  <c r="BG197" i="8" s="1"/>
  <c r="BF125" i="8"/>
  <c r="BG125" i="8" s="1"/>
  <c r="BF53" i="8"/>
  <c r="BG53" i="8" s="1"/>
  <c r="BF299" i="8"/>
  <c r="BG299" i="8" s="1"/>
  <c r="BF227" i="8"/>
  <c r="BG227" i="8" s="1"/>
  <c r="BF155" i="8"/>
  <c r="BG155" i="8" s="1"/>
  <c r="BF83" i="8"/>
  <c r="BG83" i="8" s="1"/>
  <c r="BF377" i="8"/>
  <c r="BG377" i="8" s="1"/>
  <c r="BF281" i="8"/>
  <c r="BG281" i="8" s="1"/>
  <c r="BF209" i="8"/>
  <c r="BG209" i="8" s="1"/>
  <c r="BF137" i="8"/>
  <c r="BG137" i="8" s="1"/>
  <c r="BF364" i="8"/>
  <c r="BG364" i="8" s="1"/>
  <c r="BF340" i="8"/>
  <c r="BG340" i="8" s="1"/>
  <c r="BF196" i="8"/>
  <c r="BG196" i="8" s="1"/>
  <c r="BF52" i="8"/>
  <c r="BG52" i="8" s="1"/>
  <c r="BF358" i="8"/>
  <c r="BG358" i="8" s="1"/>
  <c r="BF334" i="8"/>
  <c r="BG334" i="8" s="1"/>
  <c r="BF310" i="8"/>
  <c r="BG310" i="8" s="1"/>
  <c r="BF286" i="8"/>
  <c r="BG286" i="8" s="1"/>
  <c r="BF262" i="8"/>
  <c r="BG262" i="8" s="1"/>
  <c r="BF238" i="8"/>
  <c r="BG238" i="8" s="1"/>
  <c r="BF214" i="8"/>
  <c r="BG214" i="8" s="1"/>
  <c r="BF190" i="8"/>
  <c r="BG190" i="8" s="1"/>
  <c r="BF166" i="8"/>
  <c r="BG166" i="8" s="1"/>
  <c r="BF142" i="8"/>
  <c r="BG142" i="8" s="1"/>
  <c r="BF118" i="8"/>
  <c r="BG118" i="8" s="1"/>
  <c r="BF94" i="8"/>
  <c r="BG94" i="8" s="1"/>
  <c r="BF70" i="8"/>
  <c r="BG70" i="8" s="1"/>
  <c r="BF46" i="8"/>
  <c r="BG46" i="8" s="1"/>
  <c r="BF22" i="8"/>
  <c r="BG22" i="8" s="1"/>
  <c r="BF308" i="8"/>
  <c r="BG308" i="8" s="1"/>
  <c r="BF284" i="8"/>
  <c r="BG284" i="8" s="1"/>
  <c r="BF260" i="8"/>
  <c r="BG260" i="8" s="1"/>
  <c r="BF236" i="8"/>
  <c r="BG236" i="8" s="1"/>
  <c r="BF212" i="8"/>
  <c r="BG212" i="8" s="1"/>
  <c r="BF188" i="8"/>
  <c r="BG188" i="8" s="1"/>
  <c r="BF164" i="8"/>
  <c r="BG164" i="8" s="1"/>
  <c r="BF140" i="8"/>
  <c r="BG140" i="8" s="1"/>
  <c r="BF116" i="8"/>
  <c r="BG116" i="8" s="1"/>
  <c r="BF92" i="8"/>
  <c r="BG92" i="8" s="1"/>
  <c r="BF68" i="8"/>
  <c r="BG68" i="8" s="1"/>
  <c r="BF44" i="8"/>
  <c r="BG44" i="8" s="1"/>
  <c r="BF20" i="8"/>
  <c r="BG20" i="8" s="1"/>
  <c r="BF370" i="8"/>
  <c r="BG370" i="8" s="1"/>
  <c r="BF346" i="8"/>
  <c r="BG346" i="8" s="1"/>
  <c r="BF322" i="8"/>
  <c r="BG322" i="8" s="1"/>
  <c r="BF298" i="8"/>
  <c r="BG298" i="8" s="1"/>
  <c r="BF274" i="8"/>
  <c r="BG274" i="8" s="1"/>
  <c r="BF250" i="8"/>
  <c r="BG250" i="8" s="1"/>
  <c r="BF226" i="8"/>
  <c r="BG226" i="8" s="1"/>
  <c r="BF202" i="8"/>
  <c r="BG202" i="8" s="1"/>
  <c r="BF178" i="8"/>
  <c r="BG178" i="8" s="1"/>
  <c r="BF154" i="8"/>
  <c r="BG154" i="8" s="1"/>
  <c r="BF130" i="8"/>
  <c r="BG130" i="8" s="1"/>
  <c r="BF106" i="8"/>
  <c r="BG106" i="8" s="1"/>
  <c r="BF82" i="8"/>
  <c r="BG82" i="8" s="1"/>
  <c r="BF58" i="8"/>
  <c r="BG58" i="8" s="1"/>
  <c r="BF34" i="8"/>
  <c r="BG34" i="8" s="1"/>
  <c r="BF309" i="8"/>
  <c r="BG309" i="8" s="1"/>
  <c r="BF285" i="8"/>
  <c r="BG285" i="8" s="1"/>
  <c r="BF261" i="8"/>
  <c r="BG261" i="8" s="1"/>
  <c r="BF237" i="8"/>
  <c r="BG237" i="8" s="1"/>
  <c r="BF213" i="8"/>
  <c r="BG213" i="8" s="1"/>
  <c r="BF189" i="8"/>
  <c r="BG189" i="8" s="1"/>
  <c r="BF165" i="8"/>
  <c r="BG165" i="8" s="1"/>
  <c r="BF141" i="8"/>
  <c r="BG141" i="8" s="1"/>
  <c r="BF117" i="8"/>
  <c r="BG117" i="8" s="1"/>
  <c r="BF93" i="8"/>
  <c r="BG93" i="8" s="1"/>
  <c r="BF69" i="8"/>
  <c r="BG69" i="8" s="1"/>
  <c r="BF45" i="8"/>
  <c r="BG45" i="8" s="1"/>
  <c r="BF21" i="8"/>
  <c r="BG21" i="8" s="1"/>
  <c r="P37" i="2" l="1"/>
  <c r="Q37" i="8" s="1"/>
  <c r="P38" i="2"/>
  <c r="Q38" i="8" s="1"/>
  <c r="P39" i="2"/>
  <c r="Q39" i="8" s="1"/>
  <c r="P40" i="2"/>
  <c r="P41" i="2"/>
  <c r="P42" i="2"/>
  <c r="P43" i="2"/>
  <c r="P44" i="2"/>
  <c r="P45" i="2"/>
  <c r="Q45" i="8" s="1"/>
  <c r="P46" i="2"/>
  <c r="Q46" i="8" s="1"/>
  <c r="P47" i="2"/>
  <c r="Q47" i="8" s="1"/>
  <c r="P48" i="2"/>
  <c r="Q48" i="8" s="1"/>
  <c r="P49" i="2"/>
  <c r="T49" i="2" s="1"/>
  <c r="AA49" i="2" s="1"/>
  <c r="P50" i="2"/>
  <c r="P51" i="2"/>
  <c r="V51" i="2" s="1"/>
  <c r="P52" i="2"/>
  <c r="Q52" i="8" s="1"/>
  <c r="P53" i="2"/>
  <c r="Q53" i="8" s="1"/>
  <c r="P54" i="2"/>
  <c r="P55" i="2"/>
  <c r="P56" i="2"/>
  <c r="P57" i="2"/>
  <c r="Q57" i="8" s="1"/>
  <c r="P58" i="2"/>
  <c r="Q58" i="8" s="1"/>
  <c r="P59" i="2"/>
  <c r="P60" i="2"/>
  <c r="Q60" i="8" s="1"/>
  <c r="P61" i="2"/>
  <c r="Q61" i="8" s="1"/>
  <c r="P62" i="2"/>
  <c r="Q62" i="8" s="1"/>
  <c r="P63" i="2"/>
  <c r="Q63" i="8" s="1"/>
  <c r="P64" i="2"/>
  <c r="P65" i="2"/>
  <c r="P66" i="2"/>
  <c r="V66" i="2" s="1"/>
  <c r="P67" i="2"/>
  <c r="V67" i="2" s="1"/>
  <c r="P68" i="2"/>
  <c r="Q68" i="8" s="1"/>
  <c r="P69" i="2"/>
  <c r="Q69" i="8" s="1"/>
  <c r="P70" i="2"/>
  <c r="Q70" i="8" s="1"/>
  <c r="P71" i="2"/>
  <c r="Q71" i="8" s="1"/>
  <c r="P72" i="2"/>
  <c r="Q72" i="8" s="1"/>
  <c r="P73" i="2"/>
  <c r="P74" i="2"/>
  <c r="V74" i="2" s="1"/>
  <c r="P75" i="2"/>
  <c r="P76" i="2"/>
  <c r="Q76" i="8" s="1"/>
  <c r="P77" i="2"/>
  <c r="P78" i="2"/>
  <c r="P79" i="2"/>
  <c r="Q79" i="8" s="1"/>
  <c r="P80" i="2"/>
  <c r="Q80" i="8" s="1"/>
  <c r="P81" i="2"/>
  <c r="Q81" i="8" s="1"/>
  <c r="P82" i="2"/>
  <c r="Q82" i="8" s="1"/>
  <c r="P83" i="2"/>
  <c r="P84" i="2"/>
  <c r="Q84" i="8" s="1"/>
  <c r="P85" i="2"/>
  <c r="Q85" i="8" s="1"/>
  <c r="P86" i="2"/>
  <c r="Q86" i="8" s="1"/>
  <c r="P87" i="2"/>
  <c r="Q87" i="8" s="1"/>
  <c r="P88" i="2"/>
  <c r="P89" i="2"/>
  <c r="P90" i="2"/>
  <c r="U90" i="2" s="1"/>
  <c r="P91" i="2"/>
  <c r="P92" i="2"/>
  <c r="Q92" i="8" s="1"/>
  <c r="P93" i="2"/>
  <c r="Q93" i="8" s="1"/>
  <c r="P94" i="2"/>
  <c r="P95" i="2"/>
  <c r="Q95" i="8" s="1"/>
  <c r="P96" i="2"/>
  <c r="Q96" i="8" s="1"/>
  <c r="P97" i="2"/>
  <c r="V97" i="2" s="1"/>
  <c r="P98" i="2"/>
  <c r="Q98" i="8" s="1"/>
  <c r="P99" i="2"/>
  <c r="W99" i="2" s="1"/>
  <c r="P100" i="2"/>
  <c r="U100" i="2" s="1"/>
  <c r="P101" i="2"/>
  <c r="P102" i="2"/>
  <c r="P103" i="2"/>
  <c r="P104" i="2"/>
  <c r="Q104" i="8" s="1"/>
  <c r="P105" i="2"/>
  <c r="Q105" i="8" s="1"/>
  <c r="P106" i="2"/>
  <c r="Q106" i="8" s="1"/>
  <c r="P107" i="2"/>
  <c r="Q107" i="8" s="1"/>
  <c r="P108" i="2"/>
  <c r="Q108" i="8" s="1"/>
  <c r="P109" i="2"/>
  <c r="Q109" i="8" s="1"/>
  <c r="P110" i="2"/>
  <c r="Q110" i="8" s="1"/>
  <c r="P111" i="2"/>
  <c r="Q111" i="8" s="1"/>
  <c r="P112" i="2"/>
  <c r="Q112" i="8" s="1"/>
  <c r="P113" i="2"/>
  <c r="P114" i="2"/>
  <c r="W114" i="2" s="1"/>
  <c r="P115" i="2"/>
  <c r="V115" i="2" s="1"/>
  <c r="P116" i="2"/>
  <c r="Q116" i="8" s="1"/>
  <c r="P117" i="2"/>
  <c r="Q117" i="8" s="1"/>
  <c r="P118" i="2"/>
  <c r="Q118" i="8" s="1"/>
  <c r="P119" i="2"/>
  <c r="Q119" i="8" s="1"/>
  <c r="P120" i="2"/>
  <c r="Q120" i="8" s="1"/>
  <c r="P121" i="2"/>
  <c r="P122" i="2"/>
  <c r="Q122" i="8" s="1"/>
  <c r="P123" i="2"/>
  <c r="Q123" i="8" s="1"/>
  <c r="P124" i="2"/>
  <c r="Q124" i="8" s="1"/>
  <c r="P125" i="2"/>
  <c r="P126" i="2"/>
  <c r="P127" i="2"/>
  <c r="P128" i="2"/>
  <c r="Q128" i="8" s="1"/>
  <c r="P129" i="2"/>
  <c r="Q129" i="8" s="1"/>
  <c r="P130" i="2"/>
  <c r="Q130" i="8" s="1"/>
  <c r="P131" i="2"/>
  <c r="Q131" i="8" s="1"/>
  <c r="P132" i="2"/>
  <c r="Q132" i="8" s="1"/>
  <c r="P133" i="2"/>
  <c r="Q133" i="8" s="1"/>
  <c r="P134" i="2"/>
  <c r="Q134" i="8" s="1"/>
  <c r="P135" i="2"/>
  <c r="Q135" i="8" s="1"/>
  <c r="P136" i="2"/>
  <c r="P137" i="2"/>
  <c r="P138" i="2"/>
  <c r="U138" i="2" s="1"/>
  <c r="P139" i="2"/>
  <c r="S139" i="2" s="1"/>
  <c r="Z139" i="2" s="1"/>
  <c r="P140" i="2"/>
  <c r="Q140" i="8" s="1"/>
  <c r="P141" i="2"/>
  <c r="Q141" i="8" s="1"/>
  <c r="P142" i="2"/>
  <c r="Q142" i="8" s="1"/>
  <c r="P143" i="2"/>
  <c r="Q143" i="8" s="1"/>
  <c r="P144" i="2"/>
  <c r="W144" i="2" s="1"/>
  <c r="P145" i="2"/>
  <c r="T145" i="2" s="1"/>
  <c r="AA145" i="2" s="1"/>
  <c r="P146" i="2"/>
  <c r="U146" i="2" s="1"/>
  <c r="P147" i="2"/>
  <c r="Q147" i="8" s="1"/>
  <c r="P148" i="2"/>
  <c r="Q148" i="8" s="1"/>
  <c r="P149" i="2"/>
  <c r="Q149" i="8" s="1"/>
  <c r="P150" i="2"/>
  <c r="Q150" i="8" s="1"/>
  <c r="P151" i="2"/>
  <c r="P152" i="2"/>
  <c r="P153" i="2"/>
  <c r="Q153" i="8" s="1"/>
  <c r="P154" i="2"/>
  <c r="Q154" i="8" s="1"/>
  <c r="P155" i="2"/>
  <c r="P156" i="2"/>
  <c r="Q156" i="8" s="1"/>
  <c r="P157" i="2"/>
  <c r="Q157" i="8" s="1"/>
  <c r="P158" i="2"/>
  <c r="Q158" i="8" s="1"/>
  <c r="P159" i="2"/>
  <c r="Q159" i="8" s="1"/>
  <c r="P160" i="2"/>
  <c r="U160" i="2" s="1"/>
  <c r="P161" i="2"/>
  <c r="V161" i="2" s="1"/>
  <c r="P162" i="2"/>
  <c r="V162" i="2" s="1"/>
  <c r="P163" i="2"/>
  <c r="P164" i="2"/>
  <c r="Q164" i="8" s="1"/>
  <c r="P165" i="2"/>
  <c r="Q165" i="8" s="1"/>
  <c r="P166" i="2"/>
  <c r="S166" i="2" s="1"/>
  <c r="Z166" i="2" s="1"/>
  <c r="P167" i="2"/>
  <c r="Q167" i="8" s="1"/>
  <c r="P168" i="2"/>
  <c r="Q168" i="8" s="1"/>
  <c r="P169" i="2"/>
  <c r="T169" i="2" s="1"/>
  <c r="AA169" i="2" s="1"/>
  <c r="P170" i="2"/>
  <c r="U170" i="2" s="1"/>
  <c r="P171" i="2"/>
  <c r="W171" i="2" s="1"/>
  <c r="P172" i="2"/>
  <c r="P173" i="2"/>
  <c r="P174" i="2"/>
  <c r="P175" i="2"/>
  <c r="P176" i="2"/>
  <c r="Q176" i="8" s="1"/>
  <c r="P177" i="2"/>
  <c r="Q177" i="8" s="1"/>
  <c r="P178" i="2"/>
  <c r="Q178" i="8" s="1"/>
  <c r="P179" i="2"/>
  <c r="P180" i="2"/>
  <c r="Q180" i="8" s="1"/>
  <c r="P181" i="2"/>
  <c r="Q181" i="8" s="1"/>
  <c r="P182" i="2"/>
  <c r="Q182" i="8" s="1"/>
  <c r="P183" i="2"/>
  <c r="Q183" i="8" s="1"/>
  <c r="P184" i="2"/>
  <c r="U184" i="2" s="1"/>
  <c r="P185" i="2"/>
  <c r="S185" i="2" s="1"/>
  <c r="Z185" i="2" s="1"/>
  <c r="P186" i="2"/>
  <c r="S186" i="2" s="1"/>
  <c r="Z186" i="2" s="1"/>
  <c r="P187" i="2"/>
  <c r="Q187" i="8" s="1"/>
  <c r="P188" i="2"/>
  <c r="Q188" i="8" s="1"/>
  <c r="P189" i="2"/>
  <c r="Q189" i="8" s="1"/>
  <c r="P190" i="2"/>
  <c r="W190" i="2" s="1"/>
  <c r="P191" i="2"/>
  <c r="T191" i="2" s="1"/>
  <c r="AA191" i="2" s="1"/>
  <c r="P192" i="2"/>
  <c r="Q192" i="8" s="1"/>
  <c r="P193" i="2"/>
  <c r="U193" i="2" s="1"/>
  <c r="P194" i="2"/>
  <c r="V194" i="2" s="1"/>
  <c r="P195" i="2"/>
  <c r="Q195" i="8" s="1"/>
  <c r="P196" i="2"/>
  <c r="V196" i="2" s="1"/>
  <c r="P197" i="2"/>
  <c r="P198" i="2"/>
  <c r="P199" i="2"/>
  <c r="Q199" i="8" s="1"/>
  <c r="P200" i="2"/>
  <c r="Q200" i="8" s="1"/>
  <c r="P201" i="2"/>
  <c r="Q201" i="8" s="1"/>
  <c r="P202" i="2"/>
  <c r="Q202" i="8" s="1"/>
  <c r="P203" i="2"/>
  <c r="P204" i="2"/>
  <c r="Q204" i="8" s="1"/>
  <c r="P205" i="2"/>
  <c r="Q205" i="8" s="1"/>
  <c r="P206" i="2"/>
  <c r="W206" i="2" s="1"/>
  <c r="P207" i="2"/>
  <c r="T207" i="2" s="1"/>
  <c r="AA207" i="2" s="1"/>
  <c r="P208" i="2"/>
  <c r="W208" i="2" s="1"/>
  <c r="P209" i="2"/>
  <c r="V209" i="2" s="1"/>
  <c r="P210" i="2"/>
  <c r="U210" i="2" s="1"/>
  <c r="P211" i="2"/>
  <c r="P212" i="2"/>
  <c r="Q212" i="8" s="1"/>
  <c r="P213" i="2"/>
  <c r="Q213" i="8" s="1"/>
  <c r="P214" i="2"/>
  <c r="V214" i="2" s="1"/>
  <c r="P215" i="2"/>
  <c r="Q215" i="8" s="1"/>
  <c r="P216" i="2"/>
  <c r="Q216" i="8" s="1"/>
  <c r="P217" i="2"/>
  <c r="V217" i="2" s="1"/>
  <c r="P218" i="2"/>
  <c r="V218" i="2" s="1"/>
  <c r="P219" i="2"/>
  <c r="U219" i="2" s="1"/>
  <c r="P220" i="2"/>
  <c r="U220" i="2" s="1"/>
  <c r="P221" i="2"/>
  <c r="Q221" i="8" s="1"/>
  <c r="P222" i="2"/>
  <c r="P223" i="2"/>
  <c r="Q223" i="8" s="1"/>
  <c r="P224" i="2"/>
  <c r="Q224" i="8" s="1"/>
  <c r="P225" i="2"/>
  <c r="Q225" i="8" s="1"/>
  <c r="P226" i="2"/>
  <c r="Q226" i="8" s="1"/>
  <c r="P227" i="2"/>
  <c r="P228" i="2"/>
  <c r="Q228" i="8" s="1"/>
  <c r="P229" i="2"/>
  <c r="Q229" i="8" s="1"/>
  <c r="P230" i="2"/>
  <c r="Q230" i="8" s="1"/>
  <c r="P231" i="2"/>
  <c r="Q231" i="8" s="1"/>
  <c r="P232" i="2"/>
  <c r="U232" i="2" s="1"/>
  <c r="P233" i="2"/>
  <c r="U233" i="2" s="1"/>
  <c r="P234" i="2"/>
  <c r="V234" i="2" s="1"/>
  <c r="P235" i="2"/>
  <c r="W235" i="2" s="1"/>
  <c r="P236" i="2"/>
  <c r="Q236" i="8" s="1"/>
  <c r="P237" i="2"/>
  <c r="Q237" i="8" s="1"/>
  <c r="P238" i="2"/>
  <c r="S238" i="2" s="1"/>
  <c r="Z238" i="2" s="1"/>
  <c r="P239" i="2"/>
  <c r="Q239" i="8" s="1"/>
  <c r="P240" i="2"/>
  <c r="Q240" i="8" s="1"/>
  <c r="P241" i="2"/>
  <c r="T241" i="2" s="1"/>
  <c r="AA241" i="2" s="1"/>
  <c r="P242" i="2"/>
  <c r="Q242" i="8" s="1"/>
  <c r="P243" i="2"/>
  <c r="Q243" i="8" s="1"/>
  <c r="P244" i="2"/>
  <c r="W244" i="2" s="1"/>
  <c r="P245" i="2"/>
  <c r="Q245" i="8" s="1"/>
  <c r="P246" i="2"/>
  <c r="Q246" i="8" s="1"/>
  <c r="P247" i="2"/>
  <c r="Q247" i="8" s="1"/>
  <c r="P248" i="2"/>
  <c r="Q248" i="8" s="1"/>
  <c r="P249" i="2"/>
  <c r="Q249" i="8" s="1"/>
  <c r="P250" i="2"/>
  <c r="Q250" i="8" s="1"/>
  <c r="P251" i="2"/>
  <c r="Q251" i="8" s="1"/>
  <c r="P252" i="2"/>
  <c r="Q252" i="8" s="1"/>
  <c r="P253" i="2"/>
  <c r="Q253" i="8" s="1"/>
  <c r="P254" i="2"/>
  <c r="Q254" i="8" s="1"/>
  <c r="P255" i="2"/>
  <c r="Q255" i="8" s="1"/>
  <c r="P256" i="2"/>
  <c r="U256" i="2" s="1"/>
  <c r="P257" i="2"/>
  <c r="U257" i="2" s="1"/>
  <c r="P258" i="2"/>
  <c r="U258" i="2" s="1"/>
  <c r="P259" i="2"/>
  <c r="W259" i="2" s="1"/>
  <c r="P260" i="2"/>
  <c r="Q260" i="8" s="1"/>
  <c r="P261" i="2"/>
  <c r="Q261" i="8" s="1"/>
  <c r="P262" i="2"/>
  <c r="U262" i="2" s="1"/>
  <c r="P263" i="2"/>
  <c r="U263" i="2" s="1"/>
  <c r="P264" i="2"/>
  <c r="Q264" i="8" s="1"/>
  <c r="P265" i="2"/>
  <c r="T265" i="2" s="1"/>
  <c r="AA265" i="2" s="1"/>
  <c r="P266" i="2"/>
  <c r="V266" i="2" s="1"/>
  <c r="P267" i="2"/>
  <c r="Q267" i="8" s="1"/>
  <c r="P268" i="2"/>
  <c r="Q268" i="8" s="1"/>
  <c r="P269" i="2"/>
  <c r="P270" i="2"/>
  <c r="Q270" i="8" s="1"/>
  <c r="P271" i="2"/>
  <c r="Q271" i="8" s="1"/>
  <c r="P272" i="2"/>
  <c r="P273" i="2"/>
  <c r="Q273" i="8" s="1"/>
  <c r="P274" i="2"/>
  <c r="Q274" i="8" s="1"/>
  <c r="P275" i="2"/>
  <c r="P276" i="2"/>
  <c r="Q276" i="8" s="1"/>
  <c r="P277" i="2"/>
  <c r="Q277" i="8" s="1"/>
  <c r="P278" i="2"/>
  <c r="Q278" i="8" s="1"/>
  <c r="P279" i="2"/>
  <c r="Q279" i="8" s="1"/>
  <c r="P280" i="2"/>
  <c r="V280" i="2" s="1"/>
  <c r="P281" i="2"/>
  <c r="W281" i="2" s="1"/>
  <c r="P282" i="2"/>
  <c r="U282" i="2" s="1"/>
  <c r="P283" i="2"/>
  <c r="V283" i="2" s="1"/>
  <c r="P284" i="2"/>
  <c r="Q284" i="8" s="1"/>
  <c r="P285" i="2"/>
  <c r="Q285" i="8" s="1"/>
  <c r="P286" i="2"/>
  <c r="T286" i="2" s="1"/>
  <c r="AA286" i="2" s="1"/>
  <c r="P287" i="2"/>
  <c r="Q287" i="8" s="1"/>
  <c r="P288" i="2"/>
  <c r="Q288" i="8" s="1"/>
  <c r="P289" i="2"/>
  <c r="Q289" i="8" s="1"/>
  <c r="P290" i="2"/>
  <c r="U290" i="2" s="1"/>
  <c r="P291" i="2"/>
  <c r="P292" i="2"/>
  <c r="Q292" i="8" s="1"/>
  <c r="P293" i="2"/>
  <c r="P294" i="2"/>
  <c r="Q294" i="8" s="1"/>
  <c r="P295" i="2"/>
  <c r="Q295" i="8" s="1"/>
  <c r="P296" i="2"/>
  <c r="Q296" i="8" s="1"/>
  <c r="P297" i="2"/>
  <c r="Q297" i="8" s="1"/>
  <c r="P298" i="2"/>
  <c r="Q298" i="8" s="1"/>
  <c r="P299" i="2"/>
  <c r="P300" i="2"/>
  <c r="Q300" i="8" s="1"/>
  <c r="P301" i="2"/>
  <c r="Q301" i="8" s="1"/>
  <c r="P302" i="2"/>
  <c r="W302" i="2" s="1"/>
  <c r="P303" i="2"/>
  <c r="U303" i="2" s="1"/>
  <c r="P304" i="2"/>
  <c r="V304" i="2" s="1"/>
  <c r="P305" i="2"/>
  <c r="W305" i="2" s="1"/>
  <c r="P306" i="2"/>
  <c r="V306" i="2" s="1"/>
  <c r="P307" i="2"/>
  <c r="V307" i="2" s="1"/>
  <c r="P308" i="2"/>
  <c r="Q308" i="8" s="1"/>
  <c r="P309" i="2"/>
  <c r="Q309" i="8" s="1"/>
  <c r="P310" i="2"/>
  <c r="Q310" i="8" s="1"/>
  <c r="P311" i="2"/>
  <c r="T311" i="2" s="1"/>
  <c r="AA311" i="2" s="1"/>
  <c r="P312" i="2"/>
  <c r="Q312" i="8" s="1"/>
  <c r="P313" i="2"/>
  <c r="T313" i="2" s="1"/>
  <c r="AA313" i="2" s="1"/>
  <c r="P314" i="2"/>
  <c r="V314" i="2" s="1"/>
  <c r="P315" i="2"/>
  <c r="Q315" i="8" s="1"/>
  <c r="P316" i="2"/>
  <c r="Q316" i="8" s="1"/>
  <c r="P317" i="2"/>
  <c r="W317" i="2" s="1"/>
  <c r="P318" i="2"/>
  <c r="Q318" i="8" s="1"/>
  <c r="P319" i="2"/>
  <c r="Q319" i="8" s="1"/>
  <c r="P320" i="2"/>
  <c r="Q320" i="8" s="1"/>
  <c r="P321" i="2"/>
  <c r="Q321" i="8" s="1"/>
  <c r="P322" i="2"/>
  <c r="Q322" i="8" s="1"/>
  <c r="P323" i="2"/>
  <c r="Q323" i="8" s="1"/>
  <c r="P324" i="2"/>
  <c r="Q324" i="8" s="1"/>
  <c r="P325" i="2"/>
  <c r="Q325" i="8" s="1"/>
  <c r="P326" i="2"/>
  <c r="T326" i="2" s="1"/>
  <c r="AA326" i="2" s="1"/>
  <c r="P327" i="2"/>
  <c r="U327" i="2" s="1"/>
  <c r="P328" i="2"/>
  <c r="U328" i="2" s="1"/>
  <c r="P329" i="2"/>
  <c r="V329" i="2" s="1"/>
  <c r="P330" i="2"/>
  <c r="W330" i="2" s="1"/>
  <c r="P331" i="2"/>
  <c r="V331" i="2" s="1"/>
  <c r="P332" i="2"/>
  <c r="Q332" i="8" s="1"/>
  <c r="P333" i="2"/>
  <c r="Q333" i="8" s="1"/>
  <c r="P334" i="2"/>
  <c r="T334" i="2" s="1"/>
  <c r="AA334" i="2" s="1"/>
  <c r="P335" i="2"/>
  <c r="Q335" i="8" s="1"/>
  <c r="P336" i="2"/>
  <c r="Q336" i="8" s="1"/>
  <c r="P337" i="2"/>
  <c r="U337" i="2" s="1"/>
  <c r="P338" i="2"/>
  <c r="Q338" i="8" s="1"/>
  <c r="P339" i="2"/>
  <c r="W339" i="2" s="1"/>
  <c r="P340" i="2"/>
  <c r="W340" i="2" s="1"/>
  <c r="P341" i="2"/>
  <c r="Q341" i="8" s="1"/>
  <c r="P342" i="2"/>
  <c r="Q342" i="8" s="1"/>
  <c r="P343" i="2"/>
  <c r="Q343" i="8" s="1"/>
  <c r="P344" i="2"/>
  <c r="Q344" i="8" s="1"/>
  <c r="P345" i="2"/>
  <c r="Q345" i="8" s="1"/>
  <c r="P346" i="2"/>
  <c r="Q346" i="8" s="1"/>
  <c r="P347" i="2"/>
  <c r="Q347" i="8" s="1"/>
  <c r="P348" i="2"/>
  <c r="Q348" i="8" s="1"/>
  <c r="P349" i="2"/>
  <c r="Q349" i="8" s="1"/>
  <c r="P350" i="2"/>
  <c r="Q350" i="8" s="1"/>
  <c r="P351" i="2"/>
  <c r="T351" i="2" s="1"/>
  <c r="AA351" i="2" s="1"/>
  <c r="P352" i="2"/>
  <c r="V352" i="2" s="1"/>
  <c r="P353" i="2"/>
  <c r="V353" i="2" s="1"/>
  <c r="P354" i="2"/>
  <c r="W354" i="2" s="1"/>
  <c r="P355" i="2"/>
  <c r="P356" i="2"/>
  <c r="Q356" i="8" s="1"/>
  <c r="P357" i="2"/>
  <c r="Q357" i="8" s="1"/>
  <c r="P358" i="2"/>
  <c r="V358" i="2" s="1"/>
  <c r="P359" i="2"/>
  <c r="Q359" i="8" s="1"/>
  <c r="P360" i="2"/>
  <c r="Q360" i="8" s="1"/>
  <c r="P361" i="2"/>
  <c r="W361" i="2" s="1"/>
  <c r="P362" i="2"/>
  <c r="V362" i="2" s="1"/>
  <c r="P363" i="2"/>
  <c r="Q363" i="8" s="1"/>
  <c r="P364" i="2"/>
  <c r="P365" i="2"/>
  <c r="Q365" i="8" s="1"/>
  <c r="P366" i="2"/>
  <c r="Q366" i="8" s="1"/>
  <c r="P367" i="2"/>
  <c r="Q367" i="8" s="1"/>
  <c r="P368" i="2"/>
  <c r="Q368" i="8" s="1"/>
  <c r="P369" i="2"/>
  <c r="Q369" i="8" s="1"/>
  <c r="P370" i="2"/>
  <c r="Q370" i="8" s="1"/>
  <c r="P371" i="2"/>
  <c r="Q371" i="8" s="1"/>
  <c r="P372" i="2"/>
  <c r="Q372" i="8" s="1"/>
  <c r="P373" i="2"/>
  <c r="Q373" i="8" s="1"/>
  <c r="P374" i="2"/>
  <c r="Q374" i="8" s="1"/>
  <c r="P375" i="2"/>
  <c r="Q375" i="8" s="1"/>
  <c r="P376" i="2"/>
  <c r="W376" i="2" s="1"/>
  <c r="P377" i="2"/>
  <c r="W377" i="2" s="1"/>
  <c r="P378" i="2"/>
  <c r="V378" i="2" s="1"/>
  <c r="P379" i="2"/>
  <c r="U379" i="2" s="1"/>
  <c r="P380" i="2"/>
  <c r="Q380" i="8" s="1"/>
  <c r="P381" i="2"/>
  <c r="Q381" i="8" s="1"/>
  <c r="P382" i="2"/>
  <c r="W382" i="2" s="1"/>
  <c r="P383" i="2"/>
  <c r="T383" i="2" s="1"/>
  <c r="AA383" i="2" s="1"/>
  <c r="P384" i="2"/>
  <c r="Q384" i="8" s="1"/>
  <c r="Q188" i="2"/>
  <c r="X188" i="2" s="1"/>
  <c r="R162" i="2"/>
  <c r="Y162" i="2" s="1"/>
  <c r="R188" i="2"/>
  <c r="Y188" i="2" s="1"/>
  <c r="S37" i="2"/>
  <c r="Z37" i="2" s="1"/>
  <c r="S38" i="2"/>
  <c r="Z38" i="2" s="1"/>
  <c r="S39" i="2"/>
  <c r="Z39" i="2" s="1"/>
  <c r="S45" i="2"/>
  <c r="Z45" i="2" s="1"/>
  <c r="S46" i="2"/>
  <c r="Z46" i="2" s="1"/>
  <c r="S47" i="2"/>
  <c r="Z47" i="2" s="1"/>
  <c r="S48" i="2"/>
  <c r="Z48" i="2" s="1"/>
  <c r="S57" i="2"/>
  <c r="Z57" i="2" s="1"/>
  <c r="S58" i="2"/>
  <c r="Z58" i="2" s="1"/>
  <c r="S61" i="2"/>
  <c r="Z61" i="2" s="1"/>
  <c r="S62" i="2"/>
  <c r="Z62" i="2" s="1"/>
  <c r="S63" i="2"/>
  <c r="S66" i="2"/>
  <c r="Z66" i="2" s="1"/>
  <c r="S69" i="2"/>
  <c r="Z69" i="2" s="1"/>
  <c r="S70" i="2"/>
  <c r="Z70" i="2" s="1"/>
  <c r="S71" i="2"/>
  <c r="Z71" i="2" s="1"/>
  <c r="S72" i="2"/>
  <c r="Z72" i="2" s="1"/>
  <c r="S76" i="2"/>
  <c r="Z76" i="2" s="1"/>
  <c r="S81" i="2"/>
  <c r="Z81" i="2" s="1"/>
  <c r="S85" i="2"/>
  <c r="S87" i="2"/>
  <c r="S92" i="2"/>
  <c r="Z92" i="2" s="1"/>
  <c r="S95" i="2"/>
  <c r="Z95" i="2" s="1"/>
  <c r="S109" i="2"/>
  <c r="Z109" i="2" s="1"/>
  <c r="S110" i="2"/>
  <c r="Z110" i="2" s="1"/>
  <c r="S111" i="2"/>
  <c r="Z111" i="2" s="1"/>
  <c r="S112" i="2"/>
  <c r="S119" i="2"/>
  <c r="Z119" i="2" s="1"/>
  <c r="S120" i="2"/>
  <c r="Z120" i="2" s="1"/>
  <c r="S133" i="2"/>
  <c r="Z133" i="2" s="1"/>
  <c r="S134" i="2"/>
  <c r="Z134" i="2" s="1"/>
  <c r="S138" i="2"/>
  <c r="Z138" i="2" s="1"/>
  <c r="S140" i="2"/>
  <c r="Z140" i="2" s="1"/>
  <c r="S142" i="2"/>
  <c r="Z142" i="2" s="1"/>
  <c r="S143" i="2"/>
  <c r="Z143" i="2" s="1"/>
  <c r="S158" i="2"/>
  <c r="S168" i="2"/>
  <c r="S183" i="2"/>
  <c r="Z183" i="2" s="1"/>
  <c r="S184" i="2"/>
  <c r="Z184" i="2" s="1"/>
  <c r="S187" i="2"/>
  <c r="Z187" i="2" s="1"/>
  <c r="S188" i="2"/>
  <c r="Z188" i="2" s="1"/>
  <c r="S201" i="2"/>
  <c r="Z201" i="2" s="1"/>
  <c r="S202" i="2"/>
  <c r="Z202" i="2" s="1"/>
  <c r="S236" i="2"/>
  <c r="Z236" i="2" s="1"/>
  <c r="S298" i="2"/>
  <c r="Z298" i="2" s="1"/>
  <c r="T37" i="2"/>
  <c r="AA37" i="2" s="1"/>
  <c r="T38" i="2"/>
  <c r="AA38" i="2" s="1"/>
  <c r="T39" i="2"/>
  <c r="AA39" i="2" s="1"/>
  <c r="T40" i="2"/>
  <c r="AA40" i="2" s="1"/>
  <c r="T41" i="2"/>
  <c r="AA41" i="2" s="1"/>
  <c r="T42" i="2"/>
  <c r="AA42" i="2" s="1"/>
  <c r="T43" i="2"/>
  <c r="AA43" i="2" s="1"/>
  <c r="T44" i="2"/>
  <c r="AA44" i="2" s="1"/>
  <c r="T45" i="2"/>
  <c r="AA45" i="2" s="1"/>
  <c r="T46" i="2"/>
  <c r="AA46" i="2" s="1"/>
  <c r="T47" i="2"/>
  <c r="AA47" i="2" s="1"/>
  <c r="T48" i="2"/>
  <c r="AA48" i="2" s="1"/>
  <c r="T57" i="2"/>
  <c r="AA57" i="2" s="1"/>
  <c r="T58" i="2"/>
  <c r="AA58" i="2" s="1"/>
  <c r="T61" i="2"/>
  <c r="AA61" i="2" s="1"/>
  <c r="T62" i="2"/>
  <c r="AA62" i="2" s="1"/>
  <c r="T63" i="2"/>
  <c r="AA63" i="2" s="1"/>
  <c r="T64" i="2"/>
  <c r="AA64" i="2" s="1"/>
  <c r="T65" i="2"/>
  <c r="AA65" i="2" s="1"/>
  <c r="T69" i="2"/>
  <c r="AA69" i="2" s="1"/>
  <c r="T70" i="2"/>
  <c r="AA70" i="2" s="1"/>
  <c r="T71" i="2"/>
  <c r="AA71" i="2" s="1"/>
  <c r="T72" i="2"/>
  <c r="AA72" i="2" s="1"/>
  <c r="T73" i="2"/>
  <c r="AA73" i="2" s="1"/>
  <c r="T75" i="2"/>
  <c r="AA75" i="2" s="1"/>
  <c r="T76" i="2"/>
  <c r="AA76" i="2" s="1"/>
  <c r="T85" i="2"/>
  <c r="AA85" i="2" s="1"/>
  <c r="T87" i="2"/>
  <c r="AA87" i="2" s="1"/>
  <c r="T88" i="2"/>
  <c r="AA88" i="2" s="1"/>
  <c r="T90" i="2"/>
  <c r="AA90" i="2" s="1"/>
  <c r="T91" i="2"/>
  <c r="AA91" i="2" s="1"/>
  <c r="T92" i="2"/>
  <c r="AA92" i="2" s="1"/>
  <c r="T93" i="2"/>
  <c r="AA93" i="2" s="1"/>
  <c r="T94" i="2"/>
  <c r="AA94" i="2" s="1"/>
  <c r="T95" i="2"/>
  <c r="AA95" i="2" s="1"/>
  <c r="T96" i="2"/>
  <c r="AA96" i="2" s="1"/>
  <c r="T97" i="2"/>
  <c r="AA97" i="2" s="1"/>
  <c r="T105" i="2"/>
  <c r="AA105" i="2" s="1"/>
  <c r="T109" i="2"/>
  <c r="AA109" i="2" s="1"/>
  <c r="T110" i="2"/>
  <c r="AA110" i="2" s="1"/>
  <c r="T111" i="2"/>
  <c r="AA111" i="2" s="1"/>
  <c r="T113" i="2"/>
  <c r="AA113" i="2" s="1"/>
  <c r="T114" i="2"/>
  <c r="AA114" i="2" s="1"/>
  <c r="T118" i="2"/>
  <c r="AA118" i="2" s="1"/>
  <c r="T119" i="2"/>
  <c r="AA119" i="2" s="1"/>
  <c r="T120" i="2"/>
  <c r="AA120" i="2" s="1"/>
  <c r="T121" i="2"/>
  <c r="AA121" i="2" s="1"/>
  <c r="T134" i="2"/>
  <c r="AA134" i="2" s="1"/>
  <c r="T136" i="2"/>
  <c r="AA136" i="2" s="1"/>
  <c r="T140" i="2"/>
  <c r="T142" i="2"/>
  <c r="AA142" i="2" s="1"/>
  <c r="T144" i="2"/>
  <c r="AA144" i="2" s="1"/>
  <c r="T153" i="2"/>
  <c r="AA153" i="2" s="1"/>
  <c r="T157" i="2"/>
  <c r="AA157" i="2" s="1"/>
  <c r="T158" i="2"/>
  <c r="AA158" i="2" s="1"/>
  <c r="T168" i="2"/>
  <c r="AA168" i="2" s="1"/>
  <c r="T178" i="2"/>
  <c r="AA178" i="2" s="1"/>
  <c r="T181" i="2"/>
  <c r="AA181" i="2" s="1"/>
  <c r="T183" i="2"/>
  <c r="AA183" i="2" s="1"/>
  <c r="T187" i="2"/>
  <c r="T193" i="2"/>
  <c r="AA193" i="2" s="1"/>
  <c r="T211" i="2"/>
  <c r="AA211" i="2" s="1"/>
  <c r="T215" i="2"/>
  <c r="AA215" i="2" s="1"/>
  <c r="T217" i="2"/>
  <c r="AA217" i="2" s="1"/>
  <c r="T236" i="2"/>
  <c r="AA236" i="2" s="1"/>
  <c r="T239" i="2"/>
  <c r="AA239" i="2" s="1"/>
  <c r="T252" i="2"/>
  <c r="AA252" i="2" s="1"/>
  <c r="T273" i="2"/>
  <c r="AA273" i="2" s="1"/>
  <c r="T287" i="2"/>
  <c r="AA287" i="2" s="1"/>
  <c r="T309" i="2"/>
  <c r="AA309" i="2" s="1"/>
  <c r="U37" i="2"/>
  <c r="U38" i="2"/>
  <c r="U39" i="2"/>
  <c r="U40" i="2"/>
  <c r="U41" i="2"/>
  <c r="U42" i="2"/>
  <c r="U43" i="2"/>
  <c r="U44" i="2"/>
  <c r="U45" i="2"/>
  <c r="U46" i="2"/>
  <c r="U47" i="2"/>
  <c r="U48" i="2"/>
  <c r="U49" i="2"/>
  <c r="U57" i="2"/>
  <c r="U58" i="2"/>
  <c r="U61" i="2"/>
  <c r="U62" i="2"/>
  <c r="U63" i="2"/>
  <c r="U64" i="2"/>
  <c r="U65" i="2"/>
  <c r="U69" i="2"/>
  <c r="U70" i="2"/>
  <c r="U71" i="2"/>
  <c r="U72" i="2"/>
  <c r="U73" i="2"/>
  <c r="U74" i="2"/>
  <c r="U75" i="2"/>
  <c r="U76" i="2"/>
  <c r="U81" i="2"/>
  <c r="U85" i="2"/>
  <c r="U87" i="2"/>
  <c r="U88" i="2"/>
  <c r="U89" i="2"/>
  <c r="U91" i="2"/>
  <c r="U92" i="2"/>
  <c r="U93" i="2"/>
  <c r="U94" i="2"/>
  <c r="U95" i="2"/>
  <c r="U96" i="2"/>
  <c r="U97" i="2"/>
  <c r="U109" i="2"/>
  <c r="U110" i="2"/>
  <c r="U111" i="2"/>
  <c r="U112" i="2"/>
  <c r="U113" i="2"/>
  <c r="U114" i="2"/>
  <c r="U119" i="2"/>
  <c r="U120" i="2"/>
  <c r="U121" i="2"/>
  <c r="U123" i="2"/>
  <c r="U124" i="2"/>
  <c r="U129" i="2"/>
  <c r="U133" i="2"/>
  <c r="U135" i="2"/>
  <c r="U136" i="2"/>
  <c r="U137" i="2"/>
  <c r="U139" i="2"/>
  <c r="U140" i="2"/>
  <c r="U142" i="2"/>
  <c r="U143" i="2"/>
  <c r="U144" i="2"/>
  <c r="U145" i="2"/>
  <c r="U153" i="2"/>
  <c r="U154" i="2"/>
  <c r="U158" i="2"/>
  <c r="U159" i="2"/>
  <c r="U168" i="2"/>
  <c r="U169" i="2"/>
  <c r="U171" i="2"/>
  <c r="U183" i="2"/>
  <c r="U185" i="2"/>
  <c r="U188" i="2"/>
  <c r="U202" i="2"/>
  <c r="U208" i="2"/>
  <c r="U217" i="2"/>
  <c r="U225" i="2"/>
  <c r="U235" i="2"/>
  <c r="U236" i="2"/>
  <c r="U237" i="2"/>
  <c r="U239" i="2"/>
  <c r="U241" i="2"/>
  <c r="U249" i="2"/>
  <c r="U252" i="2"/>
  <c r="U265" i="2"/>
  <c r="U280" i="2"/>
  <c r="U297" i="2"/>
  <c r="U307" i="2"/>
  <c r="U314" i="2"/>
  <c r="U326" i="2"/>
  <c r="U329" i="2"/>
  <c r="U345" i="2"/>
  <c r="U346" i="2"/>
  <c r="U361" i="2"/>
  <c r="U363" i="2"/>
  <c r="U376" i="2"/>
  <c r="U377" i="2"/>
  <c r="V37" i="2"/>
  <c r="V38" i="2"/>
  <c r="V39" i="2"/>
  <c r="V40" i="2"/>
  <c r="V41" i="2"/>
  <c r="V42" i="2"/>
  <c r="V43" i="2"/>
  <c r="V44" i="2"/>
  <c r="V45" i="2"/>
  <c r="V46" i="2"/>
  <c r="V47" i="2"/>
  <c r="V48" i="2"/>
  <c r="V49" i="2"/>
  <c r="V57" i="2"/>
  <c r="V58" i="2"/>
  <c r="V61" i="2"/>
  <c r="V62" i="2"/>
  <c r="V63" i="2"/>
  <c r="V64" i="2"/>
  <c r="V65" i="2"/>
  <c r="V69" i="2"/>
  <c r="V70" i="2"/>
  <c r="V71" i="2"/>
  <c r="V72" i="2"/>
  <c r="V73" i="2"/>
  <c r="V75" i="2"/>
  <c r="V81" i="2"/>
  <c r="V82" i="2"/>
  <c r="V85" i="2"/>
  <c r="V87" i="2"/>
  <c r="V88" i="2"/>
  <c r="V89" i="2"/>
  <c r="V90" i="2"/>
  <c r="V91" i="2"/>
  <c r="V92" i="2"/>
  <c r="V93" i="2"/>
  <c r="V94" i="2"/>
  <c r="V95" i="2"/>
  <c r="V96" i="2"/>
  <c r="V98" i="2"/>
  <c r="V99" i="2"/>
  <c r="V100" i="2"/>
  <c r="V105" i="2"/>
  <c r="V109" i="2"/>
  <c r="V110" i="2"/>
  <c r="V111" i="2"/>
  <c r="V112" i="2"/>
  <c r="V113" i="2"/>
  <c r="V117" i="2"/>
  <c r="V118" i="2"/>
  <c r="V119" i="2"/>
  <c r="V120" i="2"/>
  <c r="V121" i="2"/>
  <c r="V122" i="2"/>
  <c r="V123" i="2"/>
  <c r="V124" i="2"/>
  <c r="V129" i="2"/>
  <c r="V135" i="2"/>
  <c r="V136" i="2"/>
  <c r="V137" i="2"/>
  <c r="V138" i="2"/>
  <c r="V139" i="2"/>
  <c r="V140" i="2"/>
  <c r="V142" i="2"/>
  <c r="V143" i="2"/>
  <c r="V144" i="2"/>
  <c r="V150" i="2"/>
  <c r="V153" i="2"/>
  <c r="V158" i="2"/>
  <c r="V159" i="2"/>
  <c r="V160" i="2"/>
  <c r="V167" i="2"/>
  <c r="V168" i="2"/>
  <c r="V169" i="2"/>
  <c r="V170" i="2"/>
  <c r="V171" i="2"/>
  <c r="V172" i="2"/>
  <c r="V177" i="2"/>
  <c r="V183" i="2"/>
  <c r="V184" i="2"/>
  <c r="V187" i="2"/>
  <c r="V188" i="2"/>
  <c r="V192" i="2"/>
  <c r="V201" i="2"/>
  <c r="V202" i="2"/>
  <c r="V204" i="2"/>
  <c r="V207" i="2"/>
  <c r="V208" i="2"/>
  <c r="V215" i="2"/>
  <c r="V219" i="2"/>
  <c r="V233" i="2"/>
  <c r="V235" i="2"/>
  <c r="V250" i="2"/>
  <c r="V252" i="2"/>
  <c r="V257" i="2"/>
  <c r="V263" i="2"/>
  <c r="V265" i="2"/>
  <c r="V267" i="2"/>
  <c r="V274" i="2"/>
  <c r="V281" i="2"/>
  <c r="V284" i="2"/>
  <c r="V287" i="2"/>
  <c r="V290" i="2"/>
  <c r="V291" i="2"/>
  <c r="V292" i="2"/>
  <c r="V305" i="2"/>
  <c r="V313" i="2"/>
  <c r="V328" i="2"/>
  <c r="V345" i="2"/>
  <c r="V346" i="2"/>
  <c r="V361" i="2"/>
  <c r="V376" i="2"/>
  <c r="V379" i="2"/>
  <c r="V383" i="2"/>
  <c r="W37" i="2"/>
  <c r="W38" i="2"/>
  <c r="W39" i="2"/>
  <c r="W40" i="2"/>
  <c r="W41" i="2"/>
  <c r="W42" i="2"/>
  <c r="W43" i="2"/>
  <c r="W44" i="2"/>
  <c r="W45" i="2"/>
  <c r="W46" i="2"/>
  <c r="W47" i="2"/>
  <c r="W48" i="2"/>
  <c r="W49" i="2"/>
  <c r="W50" i="2"/>
  <c r="W51" i="2"/>
  <c r="W57" i="2"/>
  <c r="W58" i="2"/>
  <c r="W61" i="2"/>
  <c r="W62" i="2"/>
  <c r="W63" i="2"/>
  <c r="W64" i="2"/>
  <c r="W65" i="2"/>
  <c r="W69" i="2"/>
  <c r="W70" i="2"/>
  <c r="W71" i="2"/>
  <c r="W72" i="2"/>
  <c r="W73" i="2"/>
  <c r="W75" i="2"/>
  <c r="W76" i="2"/>
  <c r="W85" i="2"/>
  <c r="W87" i="2"/>
  <c r="W88" i="2"/>
  <c r="W89" i="2"/>
  <c r="W90" i="2"/>
  <c r="W91" i="2"/>
  <c r="W92" i="2"/>
  <c r="W93" i="2"/>
  <c r="W94" i="2"/>
  <c r="W95" i="2"/>
  <c r="W96" i="2"/>
  <c r="W97" i="2"/>
  <c r="W105" i="2"/>
  <c r="W106" i="2"/>
  <c r="W109" i="2"/>
  <c r="W110" i="2"/>
  <c r="W111" i="2"/>
  <c r="W112" i="2"/>
  <c r="W113" i="2"/>
  <c r="W118" i="2"/>
  <c r="W119" i="2"/>
  <c r="W120" i="2"/>
  <c r="W121" i="2"/>
  <c r="W122" i="2"/>
  <c r="W123" i="2"/>
  <c r="W124" i="2"/>
  <c r="W129" i="2"/>
  <c r="W135" i="2"/>
  <c r="W136" i="2"/>
  <c r="W137" i="2"/>
  <c r="W139" i="2"/>
  <c r="W140" i="2"/>
  <c r="W141" i="2"/>
  <c r="W142" i="2"/>
  <c r="W143" i="2"/>
  <c r="W145" i="2"/>
  <c r="W153" i="2"/>
  <c r="W154" i="2"/>
  <c r="W158" i="2"/>
  <c r="W159" i="2"/>
  <c r="W160" i="2"/>
  <c r="W161" i="2"/>
  <c r="W167" i="2"/>
  <c r="W168" i="2"/>
  <c r="W169" i="2"/>
  <c r="W170" i="2"/>
  <c r="W172" i="2"/>
  <c r="W177" i="2"/>
  <c r="W178" i="2"/>
  <c r="W182" i="2"/>
  <c r="W183" i="2"/>
  <c r="W184" i="2"/>
  <c r="W185" i="2"/>
  <c r="W187" i="2"/>
  <c r="W191" i="2"/>
  <c r="W192" i="2"/>
  <c r="W193" i="2"/>
  <c r="W201" i="2"/>
  <c r="W202" i="2"/>
  <c r="W204" i="2"/>
  <c r="W207" i="2"/>
  <c r="W213" i="2"/>
  <c r="W215" i="2"/>
  <c r="W219" i="2"/>
  <c r="W220" i="2"/>
  <c r="W225" i="2"/>
  <c r="W232" i="2"/>
  <c r="W233" i="2"/>
  <c r="W234" i="2"/>
  <c r="W236" i="2"/>
  <c r="W241" i="2"/>
  <c r="W242" i="2"/>
  <c r="W252" i="2"/>
  <c r="W255" i="2"/>
  <c r="W256" i="2"/>
  <c r="W257" i="2"/>
  <c r="W265" i="2"/>
  <c r="W266" i="2"/>
  <c r="W267" i="2"/>
  <c r="W278" i="2"/>
  <c r="W279" i="2"/>
  <c r="W280" i="2"/>
  <c r="W289" i="2"/>
  <c r="W304" i="2"/>
  <c r="W321" i="2"/>
  <c r="W327" i="2"/>
  <c r="W329" i="2"/>
  <c r="W331" i="2"/>
  <c r="W337" i="2"/>
  <c r="W345" i="2"/>
  <c r="W351" i="2"/>
  <c r="W352" i="2"/>
  <c r="W353" i="2"/>
  <c r="W364" i="2"/>
  <c r="W369" i="2"/>
  <c r="W375" i="2"/>
  <c r="W378" i="2"/>
  <c r="Z63" i="2"/>
  <c r="Z85" i="2"/>
  <c r="Z87" i="2"/>
  <c r="Z112" i="2"/>
  <c r="Z158" i="2"/>
  <c r="Z168" i="2"/>
  <c r="AA140" i="2"/>
  <c r="AA187" i="2"/>
  <c r="B7" i="3"/>
  <c r="V239" i="2" l="1"/>
  <c r="W283" i="2"/>
  <c r="W189" i="2"/>
  <c r="T303" i="2"/>
  <c r="AA303" i="2" s="1"/>
  <c r="V351" i="2"/>
  <c r="U205" i="2"/>
  <c r="S287" i="2"/>
  <c r="Z287" i="2" s="1"/>
  <c r="V237" i="2"/>
  <c r="S284" i="2"/>
  <c r="Z284" i="2" s="1"/>
  <c r="W188" i="2"/>
  <c r="V236" i="2"/>
  <c r="V181" i="2"/>
  <c r="U255" i="2"/>
  <c r="U191" i="2"/>
  <c r="T297" i="2"/>
  <c r="AA297" i="2" s="1"/>
  <c r="S249" i="2"/>
  <c r="Z249" i="2" s="1"/>
  <c r="V141" i="2"/>
  <c r="U189" i="2"/>
  <c r="U141" i="2"/>
  <c r="T283" i="2"/>
  <c r="AA283" i="2" s="1"/>
  <c r="Q159" i="2"/>
  <c r="X159" i="2" s="1"/>
  <c r="T221" i="2"/>
  <c r="AA221" i="2" s="1"/>
  <c r="T141" i="2"/>
  <c r="AA141" i="2" s="1"/>
  <c r="S159" i="2"/>
  <c r="Z159" i="2" s="1"/>
  <c r="U157" i="2"/>
  <c r="W315" i="2"/>
  <c r="V335" i="2"/>
  <c r="V189" i="2"/>
  <c r="V157" i="2"/>
  <c r="U306" i="2"/>
  <c r="T208" i="2"/>
  <c r="AA208" i="2" s="1"/>
  <c r="S157" i="2"/>
  <c r="Z157" i="2" s="1"/>
  <c r="T363" i="2"/>
  <c r="AA363" i="2" s="1"/>
  <c r="T206" i="2"/>
  <c r="AA206" i="2" s="1"/>
  <c r="S346" i="2"/>
  <c r="Z346" i="2" s="1"/>
  <c r="W205" i="2"/>
  <c r="W239" i="2"/>
  <c r="W379" i="2"/>
  <c r="W303" i="2"/>
  <c r="U283" i="2"/>
  <c r="U207" i="2"/>
  <c r="T345" i="2"/>
  <c r="AA345" i="2" s="1"/>
  <c r="T204" i="2"/>
  <c r="AA204" i="2" s="1"/>
  <c r="V330" i="2"/>
  <c r="T213" i="2"/>
  <c r="AA213" i="2" s="1"/>
  <c r="T117" i="2"/>
  <c r="AA117" i="2" s="1"/>
  <c r="W117" i="2"/>
  <c r="W230" i="2"/>
  <c r="U231" i="2"/>
  <c r="T279" i="2"/>
  <c r="AA279" i="2" s="1"/>
  <c r="T86" i="2"/>
  <c r="AA86" i="2" s="1"/>
  <c r="S181" i="2"/>
  <c r="Z181" i="2" s="1"/>
  <c r="S117" i="2"/>
  <c r="Z117" i="2" s="1"/>
  <c r="U310" i="2"/>
  <c r="T214" i="2"/>
  <c r="AA214" i="2" s="1"/>
  <c r="T165" i="2"/>
  <c r="AA165" i="2" s="1"/>
  <c r="W231" i="2"/>
  <c r="V166" i="2"/>
  <c r="W358" i="2"/>
  <c r="W310" i="2"/>
  <c r="W262" i="2"/>
  <c r="W229" i="2"/>
  <c r="W166" i="2"/>
  <c r="W138" i="2"/>
  <c r="V165" i="2"/>
  <c r="U381" i="2"/>
  <c r="U298" i="2"/>
  <c r="U230" i="2"/>
  <c r="T278" i="2"/>
  <c r="AA278" i="2" s="1"/>
  <c r="T154" i="2"/>
  <c r="AA154" i="2" s="1"/>
  <c r="S252" i="2"/>
  <c r="Z252" i="2" s="1"/>
  <c r="W374" i="2"/>
  <c r="S182" i="2"/>
  <c r="Z182" i="2" s="1"/>
  <c r="W362" i="2"/>
  <c r="V282" i="2"/>
  <c r="W307" i="2"/>
  <c r="W165" i="2"/>
  <c r="W86" i="2"/>
  <c r="V327" i="2"/>
  <c r="V279" i="2"/>
  <c r="V86" i="2"/>
  <c r="U229" i="2"/>
  <c r="U118" i="2"/>
  <c r="T276" i="2"/>
  <c r="AA276" i="2" s="1"/>
  <c r="S250" i="2"/>
  <c r="Z250" i="2" s="1"/>
  <c r="S165" i="2"/>
  <c r="Z165" i="2" s="1"/>
  <c r="W314" i="2"/>
  <c r="W263" i="2"/>
  <c r="V326" i="2"/>
  <c r="V278" i="2"/>
  <c r="V231" i="2"/>
  <c r="V134" i="2"/>
  <c r="V106" i="2"/>
  <c r="U182" i="2"/>
  <c r="U117" i="2"/>
  <c r="T205" i="2"/>
  <c r="AA205" i="2" s="1"/>
  <c r="W311" i="2"/>
  <c r="W186" i="2"/>
  <c r="V230" i="2"/>
  <c r="V186" i="2"/>
  <c r="V133" i="2"/>
  <c r="U181" i="2"/>
  <c r="T262" i="2"/>
  <c r="AA262" i="2" s="1"/>
  <c r="T106" i="2"/>
  <c r="AA106" i="2" s="1"/>
  <c r="T74" i="2"/>
  <c r="AA74" i="2" s="1"/>
  <c r="S237" i="2"/>
  <c r="Z237" i="2" s="1"/>
  <c r="U311" i="2"/>
  <c r="W298" i="2"/>
  <c r="U218" i="2"/>
  <c r="T202" i="2"/>
  <c r="AA202" i="2" s="1"/>
  <c r="W346" i="2"/>
  <c r="W218" i="2"/>
  <c r="U278" i="2"/>
  <c r="W250" i="2"/>
  <c r="W133" i="2"/>
  <c r="W74" i="2"/>
  <c r="V311" i="2"/>
  <c r="U86" i="2"/>
  <c r="T250" i="2"/>
  <c r="AA250" i="2" s="1"/>
  <c r="W134" i="2"/>
  <c r="V229" i="2"/>
  <c r="U362" i="2"/>
  <c r="S106" i="2"/>
  <c r="Z106" i="2" s="1"/>
  <c r="V375" i="2"/>
  <c r="V154" i="2"/>
  <c r="T359" i="2"/>
  <c r="AA359" i="2" s="1"/>
  <c r="S229" i="2"/>
  <c r="Z229" i="2" s="1"/>
  <c r="S154" i="2"/>
  <c r="Z154" i="2" s="1"/>
  <c r="W342" i="2"/>
  <c r="W284" i="2"/>
  <c r="W214" i="2"/>
  <c r="W157" i="2"/>
  <c r="V310" i="2"/>
  <c r="V182" i="2"/>
  <c r="U358" i="2"/>
  <c r="U214" i="2"/>
  <c r="T358" i="2"/>
  <c r="AA358" i="2" s="1"/>
  <c r="T188" i="2"/>
  <c r="AA188" i="2" s="1"/>
  <c r="S213" i="2"/>
  <c r="Z213" i="2" s="1"/>
  <c r="S93" i="2"/>
  <c r="Z93" i="2" s="1"/>
  <c r="W381" i="2"/>
  <c r="W282" i="2"/>
  <c r="W181" i="2"/>
  <c r="V359" i="2"/>
  <c r="V262" i="2"/>
  <c r="U250" i="2"/>
  <c r="U165" i="2"/>
  <c r="T327" i="2"/>
  <c r="AA327" i="2" s="1"/>
  <c r="T230" i="2"/>
  <c r="AA230" i="2" s="1"/>
  <c r="T133" i="2"/>
  <c r="AA133" i="2" s="1"/>
  <c r="S141" i="2"/>
  <c r="Z141" i="2" s="1"/>
  <c r="U213" i="2"/>
  <c r="W149" i="2"/>
  <c r="V298" i="2"/>
  <c r="V213" i="2"/>
  <c r="U134" i="2"/>
  <c r="U106" i="2"/>
  <c r="T310" i="2"/>
  <c r="AA310" i="2" s="1"/>
  <c r="T229" i="2"/>
  <c r="AA229" i="2" s="1"/>
  <c r="T182" i="2"/>
  <c r="AA182" i="2" s="1"/>
  <c r="S189" i="2"/>
  <c r="Z189" i="2" s="1"/>
  <c r="W333" i="2"/>
  <c r="W359" i="2"/>
  <c r="W326" i="2"/>
  <c r="W287" i="2"/>
  <c r="V349" i="2"/>
  <c r="V191" i="2"/>
  <c r="U335" i="2"/>
  <c r="U201" i="2"/>
  <c r="U105" i="2"/>
  <c r="T338" i="2"/>
  <c r="AA338" i="2" s="1"/>
  <c r="T277" i="2"/>
  <c r="AA277" i="2" s="1"/>
  <c r="T129" i="2"/>
  <c r="AA129" i="2" s="1"/>
  <c r="S239" i="2"/>
  <c r="Z239" i="2" s="1"/>
  <c r="R159" i="2"/>
  <c r="Y159" i="2" s="1"/>
  <c r="W285" i="2"/>
  <c r="V301" i="2"/>
  <c r="U333" i="2"/>
  <c r="T335" i="2"/>
  <c r="AA335" i="2" s="1"/>
  <c r="T333" i="2"/>
  <c r="AA333" i="2" s="1"/>
  <c r="W253" i="2"/>
  <c r="V337" i="2"/>
  <c r="V297" i="2"/>
  <c r="V225" i="2"/>
  <c r="U383" i="2"/>
  <c r="U273" i="2"/>
  <c r="T331" i="2"/>
  <c r="AA331" i="2" s="1"/>
  <c r="T159" i="2"/>
  <c r="AA159" i="2" s="1"/>
  <c r="W383" i="2"/>
  <c r="W313" i="2"/>
  <c r="W249" i="2"/>
  <c r="W217" i="2"/>
  <c r="W81" i="2"/>
  <c r="V381" i="2"/>
  <c r="V333" i="2"/>
  <c r="V255" i="2"/>
  <c r="V185" i="2"/>
  <c r="U313" i="2"/>
  <c r="T255" i="2"/>
  <c r="AA255" i="2" s="1"/>
  <c r="S204" i="2"/>
  <c r="Z204" i="2" s="1"/>
  <c r="S105" i="2"/>
  <c r="Z105" i="2" s="1"/>
  <c r="U253" i="2"/>
  <c r="S337" i="2"/>
  <c r="Z337" i="2" s="1"/>
  <c r="S335" i="2"/>
  <c r="Z335" i="2" s="1"/>
  <c r="W335" i="2"/>
  <c r="W273" i="2"/>
  <c r="W209" i="2"/>
  <c r="V249" i="2"/>
  <c r="T301" i="2"/>
  <c r="AA301" i="2" s="1"/>
  <c r="T143" i="2"/>
  <c r="AA143" i="2" s="1"/>
  <c r="T81" i="2"/>
  <c r="AA81" i="2" s="1"/>
  <c r="U301" i="2"/>
  <c r="W301" i="2"/>
  <c r="U351" i="2"/>
  <c r="T285" i="2"/>
  <c r="AA285" i="2" s="1"/>
  <c r="S255" i="2"/>
  <c r="Z255" i="2" s="1"/>
  <c r="U289" i="2"/>
  <c r="V253" i="2"/>
  <c r="U349" i="2"/>
  <c r="W363" i="2"/>
  <c r="W328" i="2"/>
  <c r="W297" i="2"/>
  <c r="V193" i="2"/>
  <c r="U287" i="2"/>
  <c r="U161" i="2"/>
  <c r="W350" i="2"/>
  <c r="V206" i="2"/>
  <c r="S332" i="2"/>
  <c r="Z332" i="2" s="1"/>
  <c r="W349" i="2"/>
  <c r="W237" i="2"/>
  <c r="V205" i="2"/>
  <c r="U374" i="2"/>
  <c r="U187" i="2"/>
  <c r="T308" i="2"/>
  <c r="AA308" i="2" s="1"/>
  <c r="S310" i="2"/>
  <c r="Z310" i="2" s="1"/>
  <c r="W254" i="2"/>
  <c r="U206" i="2"/>
  <c r="U285" i="2"/>
  <c r="T350" i="2"/>
  <c r="S301" i="2"/>
  <c r="Z301" i="2" s="1"/>
  <c r="S205" i="2"/>
  <c r="Z205" i="2" s="1"/>
  <c r="W380" i="2"/>
  <c r="W268" i="2"/>
  <c r="U332" i="2"/>
  <c r="W300" i="2"/>
  <c r="W238" i="2"/>
  <c r="W348" i="2"/>
  <c r="W316" i="2"/>
  <c r="V382" i="2"/>
  <c r="V350" i="2"/>
  <c r="V315" i="2"/>
  <c r="V232" i="2"/>
  <c r="U315" i="2"/>
  <c r="U284" i="2"/>
  <c r="T349" i="2"/>
  <c r="AA349" i="2" s="1"/>
  <c r="T302" i="2"/>
  <c r="AA302" i="2" s="1"/>
  <c r="S300" i="2"/>
  <c r="Z300" i="2" s="1"/>
  <c r="V286" i="2"/>
  <c r="T348" i="2"/>
  <c r="AA348" i="2" s="1"/>
  <c r="T254" i="2"/>
  <c r="AA254" i="2" s="1"/>
  <c r="W286" i="2"/>
  <c r="V380" i="2"/>
  <c r="V348" i="2"/>
  <c r="V285" i="2"/>
  <c r="V256" i="2"/>
  <c r="T300" i="2"/>
  <c r="AA300" i="2" s="1"/>
  <c r="T253" i="2"/>
  <c r="AA253" i="2" s="1"/>
  <c r="S190" i="2"/>
  <c r="Z190" i="2" s="1"/>
  <c r="V254" i="2"/>
  <c r="U350" i="2"/>
  <c r="S254" i="2"/>
  <c r="Z254" i="2" s="1"/>
  <c r="U268" i="2"/>
  <c r="W334" i="2"/>
  <c r="V190" i="2"/>
  <c r="T238" i="2"/>
  <c r="AA238" i="2" s="1"/>
  <c r="W332" i="2"/>
  <c r="W306" i="2"/>
  <c r="V374" i="2"/>
  <c r="V334" i="2"/>
  <c r="V303" i="2"/>
  <c r="U267" i="2"/>
  <c r="U204" i="2"/>
  <c r="T332" i="2"/>
  <c r="AA332" i="2" s="1"/>
  <c r="T284" i="2"/>
  <c r="AA284" i="2" s="1"/>
  <c r="T237" i="2"/>
  <c r="AA237" i="2" s="1"/>
  <c r="T201" i="2"/>
  <c r="AA201" i="2" s="1"/>
  <c r="S381" i="2"/>
  <c r="Z381" i="2" s="1"/>
  <c r="V366" i="2"/>
  <c r="V302" i="2"/>
  <c r="U302" i="2"/>
  <c r="T381" i="2"/>
  <c r="AA381" i="2" s="1"/>
  <c r="S380" i="2"/>
  <c r="Z380" i="2" s="1"/>
  <c r="V332" i="2"/>
  <c r="U348" i="2"/>
  <c r="T380" i="2"/>
  <c r="AA380" i="2" s="1"/>
  <c r="V300" i="2"/>
  <c r="V238" i="2"/>
  <c r="U380" i="2"/>
  <c r="U334" i="2"/>
  <c r="U300" i="2"/>
  <c r="U192" i="2"/>
  <c r="T374" i="2"/>
  <c r="AA374" i="2" s="1"/>
  <c r="T189" i="2"/>
  <c r="AA189" i="2" s="1"/>
  <c r="S345" i="2"/>
  <c r="Z345" i="2" s="1"/>
  <c r="V268" i="2"/>
  <c r="U254" i="2"/>
  <c r="V373" i="2"/>
  <c r="W277" i="2"/>
  <c r="V369" i="2"/>
  <c r="U167" i="2"/>
  <c r="T346" i="2"/>
  <c r="AA346" i="2" s="1"/>
  <c r="T274" i="2"/>
  <c r="AA274" i="2" s="1"/>
  <c r="T231" i="2"/>
  <c r="AA231" i="2" s="1"/>
  <c r="S333" i="2"/>
  <c r="Z333" i="2" s="1"/>
  <c r="S253" i="2"/>
  <c r="Z253" i="2" s="1"/>
  <c r="V145" i="2"/>
  <c r="U375" i="2"/>
  <c r="U309" i="2"/>
  <c r="U279" i="2"/>
  <c r="T375" i="2"/>
  <c r="AA375" i="2" s="1"/>
  <c r="T263" i="2"/>
  <c r="AA263" i="2" s="1"/>
  <c r="T225" i="2"/>
  <c r="AA225" i="2" s="1"/>
  <c r="S309" i="2"/>
  <c r="Z309" i="2" s="1"/>
  <c r="W373" i="2"/>
  <c r="U215" i="2"/>
  <c r="T298" i="2"/>
  <c r="AA298" i="2" s="1"/>
  <c r="T116" i="2"/>
  <c r="AA116" i="2" s="1"/>
  <c r="S308" i="2"/>
  <c r="Z308" i="2" s="1"/>
  <c r="W325" i="2"/>
  <c r="V261" i="2"/>
  <c r="U373" i="2"/>
  <c r="U277" i="2"/>
  <c r="T373" i="2"/>
  <c r="AA373" i="2" s="1"/>
  <c r="T261" i="2"/>
  <c r="AA261" i="2" s="1"/>
  <c r="V357" i="2"/>
  <c r="U369" i="2"/>
  <c r="T370" i="2"/>
  <c r="AA370" i="2" s="1"/>
  <c r="T289" i="2"/>
  <c r="AA289" i="2" s="1"/>
  <c r="V309" i="2"/>
  <c r="T369" i="2"/>
  <c r="AA369" i="2" s="1"/>
  <c r="S369" i="2"/>
  <c r="Z369" i="2" s="1"/>
  <c r="W261" i="2"/>
  <c r="V277" i="2"/>
  <c r="U209" i="2"/>
  <c r="S359" i="2"/>
  <c r="S289" i="2"/>
  <c r="Z289" i="2" s="1"/>
  <c r="T325" i="2"/>
  <c r="AA325" i="2" s="1"/>
  <c r="S357" i="2"/>
  <c r="Z357" i="2" s="1"/>
  <c r="S225" i="2"/>
  <c r="Z225" i="2" s="1"/>
  <c r="W309" i="2"/>
  <c r="V325" i="2"/>
  <c r="V273" i="2"/>
  <c r="V241" i="2"/>
  <c r="U359" i="2"/>
  <c r="T321" i="2"/>
  <c r="AA321" i="2" s="1"/>
  <c r="T177" i="2"/>
  <c r="AA177" i="2" s="1"/>
  <c r="S350" i="2"/>
  <c r="Z350" i="2" s="1"/>
  <c r="S285" i="2"/>
  <c r="Z285" i="2" s="1"/>
  <c r="S215" i="2"/>
  <c r="Z215" i="2" s="1"/>
  <c r="S178" i="2"/>
  <c r="Z178" i="2" s="1"/>
  <c r="S135" i="2"/>
  <c r="Z135" i="2" s="1"/>
  <c r="V321" i="2"/>
  <c r="U177" i="2"/>
  <c r="T357" i="2"/>
  <c r="AA357" i="2" s="1"/>
  <c r="T135" i="2"/>
  <c r="AA135" i="2" s="1"/>
  <c r="S349" i="2"/>
  <c r="Z349" i="2" s="1"/>
  <c r="S177" i="2"/>
  <c r="Z177" i="2" s="1"/>
  <c r="W357" i="2"/>
  <c r="U357" i="2"/>
  <c r="U325" i="2"/>
  <c r="U261" i="2"/>
  <c r="S273" i="2"/>
  <c r="Z273" i="2" s="1"/>
  <c r="V289" i="2"/>
  <c r="U321" i="2"/>
  <c r="T167" i="2"/>
  <c r="AA167" i="2" s="1"/>
  <c r="S261" i="2"/>
  <c r="Z261" i="2" s="1"/>
  <c r="S167" i="2"/>
  <c r="S355" i="2"/>
  <c r="Z355" i="2" s="1"/>
  <c r="Q355" i="8"/>
  <c r="S179" i="2"/>
  <c r="Z179" i="2" s="1"/>
  <c r="Q179" i="8"/>
  <c r="W196" i="2"/>
  <c r="S50" i="2"/>
  <c r="Z50" i="2" s="1"/>
  <c r="Q50" i="8"/>
  <c r="W324" i="2"/>
  <c r="W260" i="2"/>
  <c r="W195" i="2"/>
  <c r="V355" i="2"/>
  <c r="V228" i="2"/>
  <c r="V52" i="2"/>
  <c r="U276" i="2"/>
  <c r="U67" i="2"/>
  <c r="T112" i="2"/>
  <c r="AA112" i="2" s="1"/>
  <c r="S96" i="2"/>
  <c r="Z96" i="2" s="1"/>
  <c r="S353" i="2"/>
  <c r="Z353" i="2" s="1"/>
  <c r="Q353" i="8"/>
  <c r="T337" i="2"/>
  <c r="AA337" i="2" s="1"/>
  <c r="Q337" i="8"/>
  <c r="T305" i="2"/>
  <c r="AA305" i="2" s="1"/>
  <c r="Q305" i="8"/>
  <c r="S257" i="2"/>
  <c r="Z257" i="2" s="1"/>
  <c r="Q257" i="8"/>
  <c r="S241" i="2"/>
  <c r="Z241" i="2" s="1"/>
  <c r="Q241" i="8"/>
  <c r="S209" i="2"/>
  <c r="Z209" i="2" s="1"/>
  <c r="Q209" i="8"/>
  <c r="S193" i="2"/>
  <c r="Z193" i="2" s="1"/>
  <c r="Q193" i="8"/>
  <c r="S161" i="2"/>
  <c r="Z161" i="2" s="1"/>
  <c r="Q161" i="8"/>
  <c r="S145" i="2"/>
  <c r="Z145" i="2" s="1"/>
  <c r="Q145" i="8"/>
  <c r="S113" i="2"/>
  <c r="Z113" i="2" s="1"/>
  <c r="Q113" i="8"/>
  <c r="S97" i="2"/>
  <c r="Z97" i="2" s="1"/>
  <c r="Q97" i="8"/>
  <c r="S65" i="2"/>
  <c r="Z65" i="2" s="1"/>
  <c r="Q65" i="8"/>
  <c r="S49" i="2"/>
  <c r="Z49" i="2" s="1"/>
  <c r="Q49" i="8"/>
  <c r="T227" i="2"/>
  <c r="AA227" i="2" s="1"/>
  <c r="Q227" i="8"/>
  <c r="V356" i="2"/>
  <c r="V354" i="2"/>
  <c r="V244" i="2"/>
  <c r="V226" i="2"/>
  <c r="U274" i="2"/>
  <c r="U228" i="2"/>
  <c r="U178" i="2"/>
  <c r="U66" i="2"/>
  <c r="S352" i="2"/>
  <c r="Z352" i="2" s="1"/>
  <c r="Q352" i="8"/>
  <c r="S304" i="2"/>
  <c r="Z304" i="2" s="1"/>
  <c r="Q304" i="8"/>
  <c r="T272" i="2"/>
  <c r="AA272" i="2" s="1"/>
  <c r="Q272" i="8"/>
  <c r="S256" i="2"/>
  <c r="Z256" i="2" s="1"/>
  <c r="Q256" i="8"/>
  <c r="S208" i="2"/>
  <c r="Z208" i="2" s="1"/>
  <c r="Q208" i="8"/>
  <c r="S160" i="2"/>
  <c r="Z160" i="2" s="1"/>
  <c r="Q160" i="8"/>
  <c r="S144" i="2"/>
  <c r="Z144" i="2" s="1"/>
  <c r="Q144" i="8"/>
  <c r="S64" i="2"/>
  <c r="Z64" i="2" s="1"/>
  <c r="Q64" i="8"/>
  <c r="S211" i="2"/>
  <c r="Z211" i="2" s="1"/>
  <c r="Q211" i="8"/>
  <c r="T68" i="2"/>
  <c r="AA68" i="2" s="1"/>
  <c r="W322" i="2"/>
  <c r="W258" i="2"/>
  <c r="W68" i="2"/>
  <c r="V308" i="2"/>
  <c r="V243" i="2"/>
  <c r="V50" i="2"/>
  <c r="U356" i="2"/>
  <c r="U226" i="2"/>
  <c r="U130" i="2"/>
  <c r="S383" i="2"/>
  <c r="Z383" i="2" s="1"/>
  <c r="Q383" i="8"/>
  <c r="S351" i="2"/>
  <c r="Z351" i="2" s="1"/>
  <c r="Q351" i="8"/>
  <c r="S303" i="2"/>
  <c r="Z303" i="2" s="1"/>
  <c r="Q303" i="8"/>
  <c r="S207" i="2"/>
  <c r="Z207" i="2" s="1"/>
  <c r="Q207" i="8"/>
  <c r="S191" i="2"/>
  <c r="Z191" i="2" s="1"/>
  <c r="Q191" i="8"/>
  <c r="W175" i="2"/>
  <c r="Q175" i="8"/>
  <c r="S127" i="2"/>
  <c r="Z127" i="2" s="1"/>
  <c r="Q127" i="8"/>
  <c r="S210" i="2"/>
  <c r="Z210" i="2" s="1"/>
  <c r="Q210" i="8"/>
  <c r="W338" i="2"/>
  <c r="W67" i="2"/>
  <c r="V242" i="2"/>
  <c r="V116" i="2"/>
  <c r="U324" i="2"/>
  <c r="U147" i="2"/>
  <c r="T356" i="2"/>
  <c r="AA356" i="2" s="1"/>
  <c r="S338" i="2"/>
  <c r="Z338" i="2" s="1"/>
  <c r="S382" i="2"/>
  <c r="Z382" i="2" s="1"/>
  <c r="Q382" i="8"/>
  <c r="S334" i="2"/>
  <c r="Z334" i="2" s="1"/>
  <c r="Q334" i="8"/>
  <c r="S302" i="2"/>
  <c r="Z302" i="2" s="1"/>
  <c r="Q302" i="8"/>
  <c r="U286" i="2"/>
  <c r="Q286" i="8"/>
  <c r="U238" i="2"/>
  <c r="Q238" i="8"/>
  <c r="T222" i="2"/>
  <c r="AA222" i="2" s="1"/>
  <c r="Q222" i="8"/>
  <c r="S206" i="2"/>
  <c r="Z206" i="2" s="1"/>
  <c r="Q206" i="8"/>
  <c r="T190" i="2"/>
  <c r="AA190" i="2" s="1"/>
  <c r="Q190" i="8"/>
  <c r="S174" i="2"/>
  <c r="Z174" i="2" s="1"/>
  <c r="Q174" i="8"/>
  <c r="V126" i="2"/>
  <c r="Q126" i="8"/>
  <c r="S94" i="2"/>
  <c r="Z94" i="2" s="1"/>
  <c r="Q94" i="8"/>
  <c r="S78" i="2"/>
  <c r="Z78" i="2" s="1"/>
  <c r="Q78" i="8"/>
  <c r="T163" i="2"/>
  <c r="AA163" i="2" s="1"/>
  <c r="Q163" i="8"/>
  <c r="S114" i="2"/>
  <c r="Z114" i="2" s="1"/>
  <c r="Q114" i="8"/>
  <c r="W212" i="2"/>
  <c r="W148" i="2"/>
  <c r="W130" i="2"/>
  <c r="W66" i="2"/>
  <c r="V178" i="2"/>
  <c r="U322" i="2"/>
  <c r="U244" i="2"/>
  <c r="T355" i="2"/>
  <c r="AA355" i="2" s="1"/>
  <c r="T260" i="2"/>
  <c r="AA260" i="2" s="1"/>
  <c r="T228" i="2"/>
  <c r="AA228" i="2" s="1"/>
  <c r="T164" i="2"/>
  <c r="AA164" i="2" s="1"/>
  <c r="S192" i="2"/>
  <c r="Z192" i="2" s="1"/>
  <c r="S130" i="2"/>
  <c r="Z130" i="2" s="1"/>
  <c r="S317" i="2"/>
  <c r="Q317" i="8"/>
  <c r="W269" i="2"/>
  <c r="Q269" i="8"/>
  <c r="S173" i="2"/>
  <c r="Z173" i="2" s="1"/>
  <c r="Q173" i="8"/>
  <c r="W125" i="2"/>
  <c r="Q125" i="8"/>
  <c r="V77" i="2"/>
  <c r="Q77" i="8"/>
  <c r="W116" i="2"/>
  <c r="T275" i="2"/>
  <c r="AA275" i="2" s="1"/>
  <c r="Q275" i="8"/>
  <c r="S51" i="2"/>
  <c r="Z51" i="2" s="1"/>
  <c r="Q51" i="8"/>
  <c r="S146" i="2"/>
  <c r="Z146" i="2" s="1"/>
  <c r="Q146" i="8"/>
  <c r="W356" i="2"/>
  <c r="W211" i="2"/>
  <c r="W147" i="2"/>
  <c r="V195" i="2"/>
  <c r="V114" i="2"/>
  <c r="U243" i="2"/>
  <c r="U82" i="2"/>
  <c r="T354" i="2"/>
  <c r="AA354" i="2" s="1"/>
  <c r="T226" i="2"/>
  <c r="AA226" i="2" s="1"/>
  <c r="T160" i="2"/>
  <c r="AA160" i="2" s="1"/>
  <c r="T82" i="2"/>
  <c r="AA82" i="2" s="1"/>
  <c r="S279" i="2"/>
  <c r="Z279" i="2" s="1"/>
  <c r="S164" i="2"/>
  <c r="Z164" i="2" s="1"/>
  <c r="S86" i="2"/>
  <c r="Z86" i="2" s="1"/>
  <c r="T364" i="2"/>
  <c r="AA364" i="2" s="1"/>
  <c r="Q364" i="8"/>
  <c r="S220" i="2"/>
  <c r="Z220" i="2" s="1"/>
  <c r="Q220" i="8"/>
  <c r="S172" i="2"/>
  <c r="Z172" i="2" s="1"/>
  <c r="Q172" i="8"/>
  <c r="S44" i="2"/>
  <c r="Z44" i="2" s="1"/>
  <c r="Q44" i="8"/>
  <c r="S100" i="2"/>
  <c r="Z100" i="2" s="1"/>
  <c r="Q100" i="8"/>
  <c r="V164" i="2"/>
  <c r="U68" i="2"/>
  <c r="Q162" i="2"/>
  <c r="X162" i="2" s="1"/>
  <c r="Q162" i="8"/>
  <c r="W323" i="2"/>
  <c r="W355" i="2"/>
  <c r="W276" i="2"/>
  <c r="W210" i="2"/>
  <c r="W146" i="2"/>
  <c r="V372" i="2"/>
  <c r="V260" i="2"/>
  <c r="V68" i="2"/>
  <c r="U242" i="2"/>
  <c r="U99" i="2"/>
  <c r="T352" i="2"/>
  <c r="AA352" i="2" s="1"/>
  <c r="T324" i="2"/>
  <c r="T192" i="2"/>
  <c r="AA192" i="2" s="1"/>
  <c r="T130" i="2"/>
  <c r="AA130" i="2" s="1"/>
  <c r="T100" i="2"/>
  <c r="AA100" i="2" s="1"/>
  <c r="S278" i="2"/>
  <c r="Z278" i="2" s="1"/>
  <c r="S163" i="2"/>
  <c r="Z163" i="2" s="1"/>
  <c r="S379" i="2"/>
  <c r="Z379" i="2" s="1"/>
  <c r="Q379" i="8"/>
  <c r="S331" i="2"/>
  <c r="Z331" i="2" s="1"/>
  <c r="Q331" i="8"/>
  <c r="W299" i="2"/>
  <c r="Q299" i="8"/>
  <c r="S283" i="2"/>
  <c r="Z283" i="2" s="1"/>
  <c r="Q283" i="8"/>
  <c r="S235" i="2"/>
  <c r="Z235" i="2" s="1"/>
  <c r="Q235" i="8"/>
  <c r="T219" i="2"/>
  <c r="AA219" i="2" s="1"/>
  <c r="Q219" i="8"/>
  <c r="V203" i="2"/>
  <c r="Q203" i="8"/>
  <c r="S171" i="2"/>
  <c r="Z171" i="2" s="1"/>
  <c r="Q171" i="8"/>
  <c r="S155" i="2"/>
  <c r="Z155" i="2" s="1"/>
  <c r="Q155" i="8"/>
  <c r="T139" i="2"/>
  <c r="AA139" i="2" s="1"/>
  <c r="Q139" i="8"/>
  <c r="S91" i="2"/>
  <c r="Z91" i="2" s="1"/>
  <c r="Q91" i="8"/>
  <c r="S75" i="2"/>
  <c r="Z75" i="2" s="1"/>
  <c r="Q75" i="8"/>
  <c r="U59" i="2"/>
  <c r="Q59" i="8"/>
  <c r="S43" i="2"/>
  <c r="Z43" i="2" s="1"/>
  <c r="Q43" i="8"/>
  <c r="S68" i="2"/>
  <c r="Z68" i="2" s="1"/>
  <c r="S259" i="2"/>
  <c r="Z259" i="2" s="1"/>
  <c r="Q259" i="8"/>
  <c r="W292" i="2"/>
  <c r="W274" i="2"/>
  <c r="V370" i="2"/>
  <c r="V259" i="2"/>
  <c r="U98" i="2"/>
  <c r="T322" i="2"/>
  <c r="AA322" i="2" s="1"/>
  <c r="T99" i="2"/>
  <c r="AA99" i="2" s="1"/>
  <c r="T51" i="2"/>
  <c r="AA51" i="2" s="1"/>
  <c r="S374" i="2"/>
  <c r="Z374" i="2" s="1"/>
  <c r="S277" i="2"/>
  <c r="Z277" i="2" s="1"/>
  <c r="S231" i="2"/>
  <c r="Z231" i="2" s="1"/>
  <c r="S118" i="2"/>
  <c r="Z118" i="2" s="1"/>
  <c r="S82" i="2"/>
  <c r="Z82" i="2" s="1"/>
  <c r="S378" i="2"/>
  <c r="Z378" i="2" s="1"/>
  <c r="Q378" i="8"/>
  <c r="S362" i="2"/>
  <c r="Z362" i="2" s="1"/>
  <c r="Q362" i="8"/>
  <c r="S330" i="2"/>
  <c r="Z330" i="2" s="1"/>
  <c r="Q330" i="8"/>
  <c r="S314" i="2"/>
  <c r="Z314" i="2" s="1"/>
  <c r="Q314" i="8"/>
  <c r="T282" i="2"/>
  <c r="AA282" i="2" s="1"/>
  <c r="Q282" i="8"/>
  <c r="S266" i="2"/>
  <c r="Z266" i="2" s="1"/>
  <c r="Q266" i="8"/>
  <c r="S234" i="2"/>
  <c r="Z234" i="2" s="1"/>
  <c r="Q234" i="8"/>
  <c r="S218" i="2"/>
  <c r="Z218" i="2" s="1"/>
  <c r="Q218" i="8"/>
  <c r="T186" i="2"/>
  <c r="AA186" i="2" s="1"/>
  <c r="Q186" i="8"/>
  <c r="S170" i="2"/>
  <c r="Z170" i="2" s="1"/>
  <c r="Q170" i="8"/>
  <c r="T138" i="2"/>
  <c r="AA138" i="2" s="1"/>
  <c r="Q138" i="8"/>
  <c r="S90" i="2"/>
  <c r="Z90" i="2" s="1"/>
  <c r="Q90" i="8"/>
  <c r="S74" i="2"/>
  <c r="Z74" i="2" s="1"/>
  <c r="Q74" i="8"/>
  <c r="S42" i="2"/>
  <c r="Z42" i="2" s="1"/>
  <c r="Q42" i="8"/>
  <c r="T340" i="2"/>
  <c r="AA340" i="2" s="1"/>
  <c r="Q340" i="8"/>
  <c r="T291" i="2"/>
  <c r="AA291" i="2" s="1"/>
  <c r="Q291" i="8"/>
  <c r="S115" i="2"/>
  <c r="Z115" i="2" s="1"/>
  <c r="Q115" i="8"/>
  <c r="T290" i="2"/>
  <c r="AA290" i="2" s="1"/>
  <c r="Q290" i="8"/>
  <c r="T194" i="2"/>
  <c r="AA194" i="2" s="1"/>
  <c r="Q194" i="8"/>
  <c r="W194" i="2"/>
  <c r="W291" i="2"/>
  <c r="W100" i="2"/>
  <c r="W82" i="2"/>
  <c r="V258" i="2"/>
  <c r="T98" i="2"/>
  <c r="AA98" i="2" s="1"/>
  <c r="S373" i="2"/>
  <c r="Z373" i="2" s="1"/>
  <c r="S325" i="2"/>
  <c r="Z325" i="2" s="1"/>
  <c r="S276" i="2"/>
  <c r="Z276" i="2" s="1"/>
  <c r="S230" i="2"/>
  <c r="Z230" i="2" s="1"/>
  <c r="S377" i="2"/>
  <c r="Z377" i="2" s="1"/>
  <c r="Q377" i="8"/>
  <c r="S361" i="2"/>
  <c r="Z361" i="2" s="1"/>
  <c r="Q361" i="8"/>
  <c r="S329" i="2"/>
  <c r="Z329" i="2" s="1"/>
  <c r="Q329" i="8"/>
  <c r="S313" i="2"/>
  <c r="Z313" i="2" s="1"/>
  <c r="Q313" i="8"/>
  <c r="S281" i="2"/>
  <c r="Z281" i="2" s="1"/>
  <c r="Q281" i="8"/>
  <c r="S265" i="2"/>
  <c r="Z265" i="2" s="1"/>
  <c r="Q265" i="8"/>
  <c r="S233" i="2"/>
  <c r="Z233" i="2" s="1"/>
  <c r="Q233" i="8"/>
  <c r="S217" i="2"/>
  <c r="Q217" i="8"/>
  <c r="T185" i="2"/>
  <c r="AA185" i="2" s="1"/>
  <c r="Q185" i="8"/>
  <c r="S169" i="2"/>
  <c r="Z169" i="2" s="1"/>
  <c r="Q169" i="8"/>
  <c r="S137" i="2"/>
  <c r="Z137" i="2" s="1"/>
  <c r="Q137" i="8"/>
  <c r="S121" i="2"/>
  <c r="Z121" i="2" s="1"/>
  <c r="Q121" i="8"/>
  <c r="S89" i="2"/>
  <c r="Z89" i="2" s="1"/>
  <c r="Q89" i="8"/>
  <c r="S73" i="2"/>
  <c r="Z73" i="2" s="1"/>
  <c r="Q73" i="8"/>
  <c r="S41" i="2"/>
  <c r="Z41" i="2" s="1"/>
  <c r="Q41" i="8"/>
  <c r="S356" i="2"/>
  <c r="Z356" i="2" s="1"/>
  <c r="T339" i="2"/>
  <c r="AA339" i="2" s="1"/>
  <c r="Q339" i="8"/>
  <c r="S67" i="2"/>
  <c r="Z67" i="2" s="1"/>
  <c r="Q67" i="8"/>
  <c r="T306" i="2"/>
  <c r="AA306" i="2" s="1"/>
  <c r="Q306" i="8"/>
  <c r="W290" i="2"/>
  <c r="W164" i="2"/>
  <c r="V324" i="2"/>
  <c r="V212" i="2"/>
  <c r="V148" i="2"/>
  <c r="V130" i="2"/>
  <c r="U372" i="2"/>
  <c r="U260" i="2"/>
  <c r="U164" i="2"/>
  <c r="S372" i="2"/>
  <c r="Z372" i="2" s="1"/>
  <c r="S324" i="2"/>
  <c r="Z324" i="2" s="1"/>
  <c r="S274" i="2"/>
  <c r="Z274" i="2" s="1"/>
  <c r="S116" i="2"/>
  <c r="Z116" i="2" s="1"/>
  <c r="T376" i="2"/>
  <c r="AA376" i="2" s="1"/>
  <c r="Q376" i="8"/>
  <c r="S328" i="2"/>
  <c r="Z328" i="2" s="1"/>
  <c r="Q328" i="8"/>
  <c r="S280" i="2"/>
  <c r="Z280" i="2" s="1"/>
  <c r="Q280" i="8"/>
  <c r="T232" i="2"/>
  <c r="AA232" i="2" s="1"/>
  <c r="Q232" i="8"/>
  <c r="T184" i="2"/>
  <c r="AA184" i="2" s="1"/>
  <c r="Q184" i="8"/>
  <c r="U152" i="2"/>
  <c r="Q152" i="8"/>
  <c r="S136" i="2"/>
  <c r="Z136" i="2" s="1"/>
  <c r="Q136" i="8"/>
  <c r="S88" i="2"/>
  <c r="Z88" i="2" s="1"/>
  <c r="Q88" i="8"/>
  <c r="T56" i="2"/>
  <c r="AA56" i="2" s="1"/>
  <c r="Q56" i="8"/>
  <c r="S40" i="2"/>
  <c r="Z40" i="2" s="1"/>
  <c r="Q40" i="8"/>
  <c r="S99" i="2"/>
  <c r="Z99" i="2" s="1"/>
  <c r="Q99" i="8"/>
  <c r="S212" i="2"/>
  <c r="Z212" i="2" s="1"/>
  <c r="S354" i="2"/>
  <c r="Z354" i="2" s="1"/>
  <c r="Q354" i="8"/>
  <c r="T66" i="2"/>
  <c r="AA66" i="2" s="1"/>
  <c r="Q66" i="8"/>
  <c r="W228" i="2"/>
  <c r="W163" i="2"/>
  <c r="W98" i="2"/>
  <c r="V340" i="2"/>
  <c r="V322" i="2"/>
  <c r="V211" i="2"/>
  <c r="V147" i="2"/>
  <c r="U370" i="2"/>
  <c r="U259" i="2"/>
  <c r="U163" i="2"/>
  <c r="T243" i="2"/>
  <c r="AA243" i="2" s="1"/>
  <c r="S370" i="2"/>
  <c r="Z370" i="2" s="1"/>
  <c r="S322" i="2"/>
  <c r="Z322" i="2" s="1"/>
  <c r="S228" i="2"/>
  <c r="Z228" i="2" s="1"/>
  <c r="S327" i="2"/>
  <c r="Z327" i="2" s="1"/>
  <c r="Q327" i="8"/>
  <c r="S311" i="2"/>
  <c r="Z311" i="2" s="1"/>
  <c r="Q311" i="8"/>
  <c r="S263" i="2"/>
  <c r="Z263" i="2" s="1"/>
  <c r="Q263" i="8"/>
  <c r="V151" i="2"/>
  <c r="Q151" i="8"/>
  <c r="S103" i="2"/>
  <c r="Z103" i="2" s="1"/>
  <c r="Q103" i="8"/>
  <c r="W55" i="2"/>
  <c r="Q55" i="8"/>
  <c r="S196" i="2"/>
  <c r="Z196" i="2" s="1"/>
  <c r="Q196" i="8"/>
  <c r="W115" i="2"/>
  <c r="V163" i="2"/>
  <c r="W372" i="2"/>
  <c r="W226" i="2"/>
  <c r="W162" i="2"/>
  <c r="V339" i="2"/>
  <c r="V210" i="2"/>
  <c r="V146" i="2"/>
  <c r="U212" i="2"/>
  <c r="U162" i="2"/>
  <c r="U116" i="2"/>
  <c r="T242" i="2"/>
  <c r="AA242" i="2" s="1"/>
  <c r="T146" i="2"/>
  <c r="AA146" i="2" s="1"/>
  <c r="S226" i="2"/>
  <c r="Z226" i="2" s="1"/>
  <c r="S358" i="2"/>
  <c r="Z358" i="2" s="1"/>
  <c r="Q358" i="8"/>
  <c r="S326" i="2"/>
  <c r="Z326" i="2" s="1"/>
  <c r="Q326" i="8"/>
  <c r="S262" i="2"/>
  <c r="Z262" i="2" s="1"/>
  <c r="Q262" i="8"/>
  <c r="S214" i="2"/>
  <c r="Z214" i="2" s="1"/>
  <c r="Q214" i="8"/>
  <c r="S198" i="2"/>
  <c r="Z198" i="2" s="1"/>
  <c r="Q198" i="8"/>
  <c r="U166" i="2"/>
  <c r="Q166" i="8"/>
  <c r="U102" i="2"/>
  <c r="Q102" i="8"/>
  <c r="U54" i="2"/>
  <c r="Q54" i="8"/>
  <c r="S244" i="2"/>
  <c r="Z244" i="2" s="1"/>
  <c r="Q244" i="8"/>
  <c r="T307" i="2"/>
  <c r="AA307" i="2" s="1"/>
  <c r="Q307" i="8"/>
  <c r="U83" i="2"/>
  <c r="Q83" i="8"/>
  <c r="T258" i="2"/>
  <c r="AA258" i="2" s="1"/>
  <c r="Q258" i="8"/>
  <c r="W370" i="2"/>
  <c r="W308" i="2"/>
  <c r="W243" i="2"/>
  <c r="W52" i="2"/>
  <c r="V338" i="2"/>
  <c r="V276" i="2"/>
  <c r="U308" i="2"/>
  <c r="U211" i="2"/>
  <c r="U115" i="2"/>
  <c r="T372" i="2"/>
  <c r="AA372" i="2" s="1"/>
  <c r="T212" i="2"/>
  <c r="AA212" i="2" s="1"/>
  <c r="S260" i="2"/>
  <c r="Z260" i="2" s="1"/>
  <c r="W293" i="2"/>
  <c r="Q293" i="8"/>
  <c r="S197" i="2"/>
  <c r="Z197" i="2" s="1"/>
  <c r="Q197" i="8"/>
  <c r="V101" i="2"/>
  <c r="Q101" i="8"/>
  <c r="T209" i="2"/>
  <c r="AA209" i="2" s="1"/>
  <c r="T166" i="2"/>
  <c r="AA166" i="2" s="1"/>
  <c r="S286" i="2"/>
  <c r="Z286" i="2" s="1"/>
  <c r="U305" i="2"/>
  <c r="T382" i="2"/>
  <c r="AA382" i="2" s="1"/>
  <c r="T244" i="2"/>
  <c r="AA244" i="2" s="1"/>
  <c r="T162" i="2"/>
  <c r="AA162" i="2" s="1"/>
  <c r="U382" i="2"/>
  <c r="U304" i="2"/>
  <c r="U234" i="2"/>
  <c r="T161" i="2"/>
  <c r="AA161" i="2" s="1"/>
  <c r="U190" i="2"/>
  <c r="T328" i="2"/>
  <c r="AA328" i="2" s="1"/>
  <c r="S194" i="2"/>
  <c r="Z194" i="2" s="1"/>
  <c r="T362" i="2"/>
  <c r="AA362" i="2" s="1"/>
  <c r="U186" i="2"/>
  <c r="T361" i="2"/>
  <c r="AA361" i="2" s="1"/>
  <c r="T259" i="2"/>
  <c r="AA259" i="2" s="1"/>
  <c r="V377" i="2"/>
  <c r="T257" i="2"/>
  <c r="AA257" i="2" s="1"/>
  <c r="T137" i="2"/>
  <c r="AA137" i="2" s="1"/>
  <c r="U331" i="2"/>
  <c r="T256" i="2"/>
  <c r="AA256" i="2" s="1"/>
  <c r="T67" i="2"/>
  <c r="AA67" i="2" s="1"/>
  <c r="U330" i="2"/>
  <c r="T281" i="2"/>
  <c r="AA281" i="2" s="1"/>
  <c r="T89" i="2"/>
  <c r="AA89" i="2" s="1"/>
  <c r="T280" i="2"/>
  <c r="AA280" i="2" s="1"/>
  <c r="U355" i="2"/>
  <c r="U354" i="2"/>
  <c r="U281" i="2"/>
  <c r="U352" i="2"/>
  <c r="T115" i="2"/>
  <c r="AA115" i="2" s="1"/>
  <c r="T330" i="2"/>
  <c r="AA330" i="2" s="1"/>
  <c r="T329" i="2"/>
  <c r="AA329" i="2" s="1"/>
  <c r="S232" i="2"/>
  <c r="Z232" i="2" s="1"/>
  <c r="T210" i="2"/>
  <c r="AA210" i="2" s="1"/>
  <c r="T353" i="2"/>
  <c r="AA353" i="2" s="1"/>
  <c r="U378" i="2"/>
  <c r="T233" i="2"/>
  <c r="AA233" i="2" s="1"/>
  <c r="S307" i="2"/>
  <c r="Z307" i="2" s="1"/>
  <c r="S306" i="2"/>
  <c r="Z306" i="2" s="1"/>
  <c r="T304" i="2"/>
  <c r="AA304" i="2" s="1"/>
  <c r="S305" i="2"/>
  <c r="Z305" i="2" s="1"/>
  <c r="T379" i="2"/>
  <c r="AA379" i="2" s="1"/>
  <c r="T378" i="2"/>
  <c r="AA378" i="2" s="1"/>
  <c r="T235" i="2"/>
  <c r="AA235" i="2" s="1"/>
  <c r="T377" i="2"/>
  <c r="AA377" i="2" s="1"/>
  <c r="T234" i="2"/>
  <c r="AA234" i="2" s="1"/>
  <c r="S162" i="2"/>
  <c r="Z162" i="2" s="1"/>
  <c r="S77" i="2"/>
  <c r="Z77" i="2" s="1"/>
  <c r="U353" i="2"/>
  <c r="T77" i="2"/>
  <c r="AA77" i="2" s="1"/>
  <c r="T218" i="2"/>
  <c r="AA218" i="2" s="1"/>
  <c r="S282" i="2"/>
  <c r="Z282" i="2" s="1"/>
  <c r="T220" i="2"/>
  <c r="AA220" i="2" s="1"/>
  <c r="S258" i="2"/>
  <c r="Z258" i="2" s="1"/>
  <c r="S364" i="2"/>
  <c r="Z364" i="2" s="1"/>
  <c r="S126" i="2"/>
  <c r="Z126" i="2" s="1"/>
  <c r="S339" i="2"/>
  <c r="Z339" i="2" s="1"/>
  <c r="S376" i="2"/>
  <c r="Z376" i="2" s="1"/>
  <c r="S375" i="2"/>
  <c r="Z375" i="2" s="1"/>
  <c r="S340" i="2"/>
  <c r="Z340" i="2" s="1"/>
  <c r="S219" i="2"/>
  <c r="Z219" i="2" s="1"/>
  <c r="S363" i="2"/>
  <c r="Z363" i="2" s="1"/>
  <c r="U246" i="2"/>
  <c r="V270" i="2"/>
  <c r="T366" i="2"/>
  <c r="AA366" i="2" s="1"/>
  <c r="W222" i="2"/>
  <c r="W102" i="2"/>
  <c r="V54" i="2"/>
  <c r="U342" i="2"/>
  <c r="U174" i="2"/>
  <c r="V174" i="2"/>
  <c r="U270" i="2"/>
  <c r="W366" i="2"/>
  <c r="V294" i="2"/>
  <c r="W246" i="2"/>
  <c r="W126" i="2"/>
  <c r="V78" i="2"/>
  <c r="S222" i="2"/>
  <c r="Z222" i="2" s="1"/>
  <c r="V198" i="2"/>
  <c r="S366" i="2"/>
  <c r="Z366" i="2" s="1"/>
  <c r="W271" i="2"/>
  <c r="W150" i="2"/>
  <c r="V319" i="2"/>
  <c r="U198" i="2"/>
  <c r="T246" i="2"/>
  <c r="AA246" i="2" s="1"/>
  <c r="W270" i="2"/>
  <c r="V318" i="2"/>
  <c r="T318" i="2"/>
  <c r="AA318" i="2" s="1"/>
  <c r="V102" i="2"/>
  <c r="U126" i="2"/>
  <c r="V222" i="2"/>
  <c r="T102" i="2"/>
  <c r="AA102" i="2" s="1"/>
  <c r="S246" i="2"/>
  <c r="Z246" i="2" s="1"/>
  <c r="W294" i="2"/>
  <c r="W174" i="2"/>
  <c r="W54" i="2"/>
  <c r="V342" i="2"/>
  <c r="T174" i="2"/>
  <c r="AA174" i="2" s="1"/>
  <c r="S102" i="2"/>
  <c r="Z102" i="2" s="1"/>
  <c r="U318" i="2"/>
  <c r="W318" i="2"/>
  <c r="V246" i="2"/>
  <c r="W198" i="2"/>
  <c r="W78" i="2"/>
  <c r="V269" i="2"/>
  <c r="V125" i="2"/>
  <c r="U245" i="2"/>
  <c r="U101" i="2"/>
  <c r="T365" i="2"/>
  <c r="AA365" i="2" s="1"/>
  <c r="S221" i="2"/>
  <c r="Z221" i="2" s="1"/>
  <c r="W173" i="2"/>
  <c r="T245" i="2"/>
  <c r="AA245" i="2" s="1"/>
  <c r="T101" i="2"/>
  <c r="AA101" i="2" s="1"/>
  <c r="S365" i="2"/>
  <c r="Z365" i="2" s="1"/>
  <c r="S101" i="2"/>
  <c r="Z101" i="2" s="1"/>
  <c r="V293" i="2"/>
  <c r="V149" i="2"/>
  <c r="U269" i="2"/>
  <c r="U125" i="2"/>
  <c r="S245" i="2"/>
  <c r="Z245" i="2" s="1"/>
  <c r="W341" i="2"/>
  <c r="AB188" i="2"/>
  <c r="T126" i="2"/>
  <c r="AA126" i="2" s="1"/>
  <c r="S243" i="2"/>
  <c r="Z243" i="2" s="1"/>
  <c r="S125" i="2"/>
  <c r="Z125" i="2" s="1"/>
  <c r="S98" i="2"/>
  <c r="Z98" i="2" s="1"/>
  <c r="W197" i="2"/>
  <c r="W53" i="2"/>
  <c r="U294" i="2"/>
  <c r="U266" i="2"/>
  <c r="U150" i="2"/>
  <c r="U122" i="2"/>
  <c r="T270" i="2"/>
  <c r="AA270" i="2" s="1"/>
  <c r="T125" i="2"/>
  <c r="AA125" i="2" s="1"/>
  <c r="S270" i="2"/>
  <c r="Z270" i="2" s="1"/>
  <c r="S242" i="2"/>
  <c r="Z242" i="2" s="1"/>
  <c r="S124" i="2"/>
  <c r="Z124" i="2" s="1"/>
  <c r="V317" i="2"/>
  <c r="V173" i="2"/>
  <c r="U293" i="2"/>
  <c r="U149" i="2"/>
  <c r="T269" i="2"/>
  <c r="AA269" i="2" s="1"/>
  <c r="T124" i="2"/>
  <c r="AA124" i="2" s="1"/>
  <c r="S269" i="2"/>
  <c r="Z269" i="2" s="1"/>
  <c r="S123" i="2"/>
  <c r="Z123" i="2" s="1"/>
  <c r="W365" i="2"/>
  <c r="V316" i="2"/>
  <c r="U292" i="2"/>
  <c r="U148" i="2"/>
  <c r="T268" i="2"/>
  <c r="AA268" i="2" s="1"/>
  <c r="T123" i="2"/>
  <c r="AA123" i="2" s="1"/>
  <c r="S268" i="2"/>
  <c r="Z268" i="2" s="1"/>
  <c r="S122" i="2"/>
  <c r="Z122" i="2" s="1"/>
  <c r="U291" i="2"/>
  <c r="T267" i="2"/>
  <c r="AA267" i="2" s="1"/>
  <c r="T150" i="2"/>
  <c r="AA150" i="2" s="1"/>
  <c r="T122" i="2"/>
  <c r="AA122" i="2" s="1"/>
  <c r="S267" i="2"/>
  <c r="Z267" i="2" s="1"/>
  <c r="S150" i="2"/>
  <c r="Z150" i="2" s="1"/>
  <c r="W221" i="2"/>
  <c r="W77" i="2"/>
  <c r="V341" i="2"/>
  <c r="T294" i="2"/>
  <c r="AA294" i="2" s="1"/>
  <c r="T266" i="2"/>
  <c r="AA266" i="2" s="1"/>
  <c r="T149" i="2"/>
  <c r="AA149" i="2" s="1"/>
  <c r="S294" i="2"/>
  <c r="Z294" i="2" s="1"/>
  <c r="S149" i="2"/>
  <c r="Z149" i="2" s="1"/>
  <c r="V197" i="2"/>
  <c r="V53" i="2"/>
  <c r="U317" i="2"/>
  <c r="U173" i="2"/>
  <c r="T293" i="2"/>
  <c r="AA293" i="2" s="1"/>
  <c r="T148" i="2"/>
  <c r="AA148" i="2" s="1"/>
  <c r="S293" i="2"/>
  <c r="Z293" i="2" s="1"/>
  <c r="S148" i="2"/>
  <c r="Z148" i="2" s="1"/>
  <c r="U316" i="2"/>
  <c r="U172" i="2"/>
  <c r="T292" i="2"/>
  <c r="AA292" i="2" s="1"/>
  <c r="T147" i="2"/>
  <c r="AA147" i="2" s="1"/>
  <c r="S292" i="2"/>
  <c r="Z292" i="2" s="1"/>
  <c r="S147" i="2"/>
  <c r="Z147" i="2" s="1"/>
  <c r="S291" i="2"/>
  <c r="Z291" i="2" s="1"/>
  <c r="W245" i="2"/>
  <c r="W101" i="2"/>
  <c r="V365" i="2"/>
  <c r="T173" i="2"/>
  <c r="AA173" i="2" s="1"/>
  <c r="S290" i="2"/>
  <c r="Z290" i="2" s="1"/>
  <c r="V364" i="2"/>
  <c r="V221" i="2"/>
  <c r="U341" i="2"/>
  <c r="U197" i="2"/>
  <c r="U53" i="2"/>
  <c r="T317" i="2"/>
  <c r="AA317" i="2" s="1"/>
  <c r="T172" i="2"/>
  <c r="AA172" i="2" s="1"/>
  <c r="S318" i="2"/>
  <c r="Z318" i="2" s="1"/>
  <c r="V363" i="2"/>
  <c r="V220" i="2"/>
  <c r="V76" i="2"/>
  <c r="U340" i="2"/>
  <c r="U196" i="2"/>
  <c r="U52" i="2"/>
  <c r="T316" i="2"/>
  <c r="AA316" i="2" s="1"/>
  <c r="T171" i="2"/>
  <c r="AA171" i="2" s="1"/>
  <c r="U339" i="2"/>
  <c r="U195" i="2"/>
  <c r="U51" i="2"/>
  <c r="T315" i="2"/>
  <c r="AA315" i="2" s="1"/>
  <c r="T198" i="2"/>
  <c r="AA198" i="2" s="1"/>
  <c r="T170" i="2"/>
  <c r="AA170" i="2" s="1"/>
  <c r="T54" i="2"/>
  <c r="AA54" i="2" s="1"/>
  <c r="S316" i="2"/>
  <c r="Z316" i="2" s="1"/>
  <c r="S54" i="2"/>
  <c r="Z54" i="2" s="1"/>
  <c r="U366" i="2"/>
  <c r="U338" i="2"/>
  <c r="U222" i="2"/>
  <c r="U194" i="2"/>
  <c r="U78" i="2"/>
  <c r="U50" i="2"/>
  <c r="T342" i="2"/>
  <c r="AA342" i="2" s="1"/>
  <c r="T314" i="2"/>
  <c r="AA314" i="2" s="1"/>
  <c r="T197" i="2"/>
  <c r="AA197" i="2" s="1"/>
  <c r="T53" i="2"/>
  <c r="AA53" i="2" s="1"/>
  <c r="S315" i="2"/>
  <c r="Z315" i="2" s="1"/>
  <c r="S53" i="2"/>
  <c r="Z53" i="2" s="1"/>
  <c r="V245" i="2"/>
  <c r="U365" i="2"/>
  <c r="U221" i="2"/>
  <c r="U77" i="2"/>
  <c r="T341" i="2"/>
  <c r="AA341" i="2" s="1"/>
  <c r="T196" i="2"/>
  <c r="AA196" i="2" s="1"/>
  <c r="T52" i="2"/>
  <c r="AA52" i="2" s="1"/>
  <c r="S52" i="2"/>
  <c r="Z52" i="2" s="1"/>
  <c r="U364" i="2"/>
  <c r="T195" i="2"/>
  <c r="AA195" i="2" s="1"/>
  <c r="S342" i="2"/>
  <c r="Z342" i="2" s="1"/>
  <c r="T78" i="2"/>
  <c r="AA78" i="2" s="1"/>
  <c r="T50" i="2"/>
  <c r="AA50" i="2" s="1"/>
  <c r="S341" i="2"/>
  <c r="Z341" i="2" s="1"/>
  <c r="S195" i="2"/>
  <c r="Z195" i="2" s="1"/>
  <c r="T223" i="2"/>
  <c r="AA223" i="2" s="1"/>
  <c r="S295" i="2"/>
  <c r="Z295" i="2" s="1"/>
  <c r="W295" i="2"/>
  <c r="W103" i="2"/>
  <c r="V343" i="2"/>
  <c r="U199" i="2"/>
  <c r="T247" i="2"/>
  <c r="AA247" i="2" s="1"/>
  <c r="T55" i="2"/>
  <c r="AA55" i="2" s="1"/>
  <c r="S319" i="2"/>
  <c r="Z319" i="2" s="1"/>
  <c r="W319" i="2"/>
  <c r="W127" i="2"/>
  <c r="V367" i="2"/>
  <c r="V175" i="2"/>
  <c r="U223" i="2"/>
  <c r="S151" i="2"/>
  <c r="Z151" i="2" s="1"/>
  <c r="T79" i="2"/>
  <c r="AA79" i="2" s="1"/>
  <c r="W343" i="2"/>
  <c r="T271" i="2"/>
  <c r="AA271" i="2" s="1"/>
  <c r="U175" i="2"/>
  <c r="W151" i="2"/>
  <c r="V199" i="2"/>
  <c r="U247" i="2"/>
  <c r="S343" i="2"/>
  <c r="Z343" i="2" s="1"/>
  <c r="U367" i="2"/>
  <c r="U55" i="2"/>
  <c r="T295" i="2"/>
  <c r="AA295" i="2" s="1"/>
  <c r="T103" i="2"/>
  <c r="AA103" i="2" s="1"/>
  <c r="S175" i="2"/>
  <c r="Z175" i="2" s="1"/>
  <c r="W367" i="2"/>
  <c r="V127" i="2"/>
  <c r="V223" i="2"/>
  <c r="U271" i="2"/>
  <c r="U79" i="2"/>
  <c r="T319" i="2"/>
  <c r="AA319" i="2" s="1"/>
  <c r="T127" i="2"/>
  <c r="AA127" i="2" s="1"/>
  <c r="S367" i="2"/>
  <c r="Z367" i="2" s="1"/>
  <c r="S199" i="2"/>
  <c r="Z199" i="2" s="1"/>
  <c r="W199" i="2"/>
  <c r="V247" i="2"/>
  <c r="V55" i="2"/>
  <c r="U295" i="2"/>
  <c r="U103" i="2"/>
  <c r="T343" i="2"/>
  <c r="AA343" i="2" s="1"/>
  <c r="T151" i="2"/>
  <c r="AA151" i="2" s="1"/>
  <c r="S223" i="2"/>
  <c r="Z223" i="2" s="1"/>
  <c r="S55" i="2"/>
  <c r="Z55" i="2" s="1"/>
  <c r="W223" i="2"/>
  <c r="V271" i="2"/>
  <c r="V79" i="2"/>
  <c r="U319" i="2"/>
  <c r="U127" i="2"/>
  <c r="T367" i="2"/>
  <c r="AA367" i="2" s="1"/>
  <c r="T175" i="2"/>
  <c r="AA175" i="2" s="1"/>
  <c r="S247" i="2"/>
  <c r="Z247" i="2" s="1"/>
  <c r="S79" i="2"/>
  <c r="Z79" i="2" s="1"/>
  <c r="W79" i="2"/>
  <c r="W247" i="2"/>
  <c r="V295" i="2"/>
  <c r="V103" i="2"/>
  <c r="U343" i="2"/>
  <c r="U151" i="2"/>
  <c r="T199" i="2"/>
  <c r="AA199" i="2" s="1"/>
  <c r="S271" i="2"/>
  <c r="Z271" i="2" s="1"/>
  <c r="Z359" i="2"/>
  <c r="U107" i="2"/>
  <c r="T299" i="2"/>
  <c r="AA299" i="2" s="1"/>
  <c r="AA324" i="2"/>
  <c r="U131" i="2"/>
  <c r="T323" i="2"/>
  <c r="AA323" i="2" s="1"/>
  <c r="AA350" i="2"/>
  <c r="W347" i="2"/>
  <c r="W59" i="2"/>
  <c r="V251" i="2"/>
  <c r="U155" i="2"/>
  <c r="S227" i="2"/>
  <c r="Z227" i="2" s="1"/>
  <c r="T347" i="2"/>
  <c r="AA347" i="2" s="1"/>
  <c r="W371" i="2"/>
  <c r="W83" i="2"/>
  <c r="V275" i="2"/>
  <c r="U179" i="2"/>
  <c r="T59" i="2"/>
  <c r="AA59" i="2" s="1"/>
  <c r="S251" i="2"/>
  <c r="Z251" i="2" s="1"/>
  <c r="T371" i="2"/>
  <c r="AA371" i="2" s="1"/>
  <c r="W107" i="2"/>
  <c r="V299" i="2"/>
  <c r="U203" i="2"/>
  <c r="T83" i="2"/>
  <c r="AA83" i="2" s="1"/>
  <c r="S275" i="2"/>
  <c r="Z275" i="2" s="1"/>
  <c r="W131" i="2"/>
  <c r="V323" i="2"/>
  <c r="U227" i="2"/>
  <c r="T107" i="2"/>
  <c r="AA107" i="2" s="1"/>
  <c r="S299" i="2"/>
  <c r="Z299" i="2" s="1"/>
  <c r="W155" i="2"/>
  <c r="V347" i="2"/>
  <c r="V59" i="2"/>
  <c r="U251" i="2"/>
  <c r="T131" i="2"/>
  <c r="AA131" i="2" s="1"/>
  <c r="S323" i="2"/>
  <c r="Z323" i="2" s="1"/>
  <c r="S297" i="2"/>
  <c r="Z297" i="2" s="1"/>
  <c r="S348" i="2"/>
  <c r="S203" i="2"/>
  <c r="Z203" i="2" s="1"/>
  <c r="W179" i="2"/>
  <c r="V371" i="2"/>
  <c r="V83" i="2"/>
  <c r="U275" i="2"/>
  <c r="T155" i="2"/>
  <c r="AA155" i="2" s="1"/>
  <c r="S347" i="2"/>
  <c r="Z347" i="2" s="1"/>
  <c r="S321" i="2"/>
  <c r="Z321" i="2" s="1"/>
  <c r="S59" i="2"/>
  <c r="Z59" i="2" s="1"/>
  <c r="V227" i="2"/>
  <c r="W203" i="2"/>
  <c r="V107" i="2"/>
  <c r="U299" i="2"/>
  <c r="T179" i="2"/>
  <c r="AA179" i="2" s="1"/>
  <c r="S371" i="2"/>
  <c r="Z371" i="2" s="1"/>
  <c r="S83" i="2"/>
  <c r="Z83" i="2" s="1"/>
  <c r="R83" i="2"/>
  <c r="Y83" i="2" s="1"/>
  <c r="Q83" i="2"/>
  <c r="X83" i="2" s="1"/>
  <c r="W227" i="2"/>
  <c r="V131" i="2"/>
  <c r="U323" i="2"/>
  <c r="T203" i="2"/>
  <c r="AA203" i="2" s="1"/>
  <c r="S107" i="2"/>
  <c r="Z107" i="2" s="1"/>
  <c r="W251" i="2"/>
  <c r="V155" i="2"/>
  <c r="U347" i="2"/>
  <c r="S131" i="2"/>
  <c r="Z131" i="2" s="1"/>
  <c r="W275" i="2"/>
  <c r="V179" i="2"/>
  <c r="U371" i="2"/>
  <c r="T251" i="2"/>
  <c r="AA251" i="2" s="1"/>
  <c r="S129" i="2"/>
  <c r="Z129" i="2" s="1"/>
  <c r="T249" i="2"/>
  <c r="AA249" i="2" s="1"/>
  <c r="S153" i="2"/>
  <c r="Z153" i="2" s="1"/>
  <c r="W368" i="2"/>
  <c r="V368" i="2"/>
  <c r="U368" i="2"/>
  <c r="T368" i="2"/>
  <c r="AA368" i="2" s="1"/>
  <c r="S368" i="2"/>
  <c r="Z368" i="2" s="1"/>
  <c r="W344" i="2"/>
  <c r="V344" i="2"/>
  <c r="U344" i="2"/>
  <c r="T344" i="2"/>
  <c r="AA344" i="2" s="1"/>
  <c r="S344" i="2"/>
  <c r="Z344" i="2" s="1"/>
  <c r="W320" i="2"/>
  <c r="V320" i="2"/>
  <c r="U320" i="2"/>
  <c r="T320" i="2"/>
  <c r="AA320" i="2" s="1"/>
  <c r="S320" i="2"/>
  <c r="Z320" i="2" s="1"/>
  <c r="W296" i="2"/>
  <c r="V296" i="2"/>
  <c r="U296" i="2"/>
  <c r="T296" i="2"/>
  <c r="AA296" i="2" s="1"/>
  <c r="S296" i="2"/>
  <c r="Z296" i="2" s="1"/>
  <c r="S272" i="2"/>
  <c r="Z272" i="2" s="1"/>
  <c r="W272" i="2"/>
  <c r="V272" i="2"/>
  <c r="U272" i="2"/>
  <c r="S248" i="2"/>
  <c r="Z248" i="2" s="1"/>
  <c r="W248" i="2"/>
  <c r="V248" i="2"/>
  <c r="U248" i="2"/>
  <c r="T248" i="2"/>
  <c r="AA248" i="2" s="1"/>
  <c r="S224" i="2"/>
  <c r="Z224" i="2" s="1"/>
  <c r="W224" i="2"/>
  <c r="V224" i="2"/>
  <c r="U224" i="2"/>
  <c r="T224" i="2"/>
  <c r="AA224" i="2" s="1"/>
  <c r="S200" i="2"/>
  <c r="Z200" i="2" s="1"/>
  <c r="W200" i="2"/>
  <c r="V200" i="2"/>
  <c r="U200" i="2"/>
  <c r="T200" i="2"/>
  <c r="AA200" i="2" s="1"/>
  <c r="S176" i="2"/>
  <c r="Z176" i="2" s="1"/>
  <c r="W176" i="2"/>
  <c r="V176" i="2"/>
  <c r="U176" i="2"/>
  <c r="T176" i="2"/>
  <c r="AA176" i="2" s="1"/>
  <c r="T152" i="2"/>
  <c r="AA152" i="2" s="1"/>
  <c r="S152" i="2"/>
  <c r="Z152" i="2" s="1"/>
  <c r="W152" i="2"/>
  <c r="V152" i="2"/>
  <c r="T128" i="2"/>
  <c r="AA128" i="2" s="1"/>
  <c r="S128" i="2"/>
  <c r="Z128" i="2" s="1"/>
  <c r="W128" i="2"/>
  <c r="V128" i="2"/>
  <c r="U128" i="2"/>
  <c r="T104" i="2"/>
  <c r="AA104" i="2" s="1"/>
  <c r="S104" i="2"/>
  <c r="Z104" i="2" s="1"/>
  <c r="W104" i="2"/>
  <c r="V104" i="2"/>
  <c r="U104" i="2"/>
  <c r="T80" i="2"/>
  <c r="AA80" i="2" s="1"/>
  <c r="S80" i="2"/>
  <c r="Z80" i="2" s="1"/>
  <c r="W80" i="2"/>
  <c r="V80" i="2"/>
  <c r="U80" i="2"/>
  <c r="Z167" i="2"/>
  <c r="Z217" i="2"/>
  <c r="Z317" i="2"/>
  <c r="U56" i="2"/>
  <c r="V56" i="2"/>
  <c r="AB159" i="2"/>
  <c r="W56" i="2"/>
  <c r="S56" i="2"/>
  <c r="Z56" i="2" s="1"/>
  <c r="S384" i="2"/>
  <c r="Z384" i="2" s="1"/>
  <c r="T384" i="2"/>
  <c r="AA384" i="2" s="1"/>
  <c r="V384" i="2"/>
  <c r="U384" i="2"/>
  <c r="W384" i="2"/>
  <c r="S360" i="2"/>
  <c r="Z360" i="2" s="1"/>
  <c r="T360" i="2"/>
  <c r="AA360" i="2" s="1"/>
  <c r="V360" i="2"/>
  <c r="U360" i="2"/>
  <c r="W360" i="2"/>
  <c r="S336" i="2"/>
  <c r="Z336" i="2" s="1"/>
  <c r="T336" i="2"/>
  <c r="AA336" i="2" s="1"/>
  <c r="V336" i="2"/>
  <c r="U336" i="2"/>
  <c r="W336" i="2"/>
  <c r="S312" i="2"/>
  <c r="Z312" i="2" s="1"/>
  <c r="T312" i="2"/>
  <c r="AA312" i="2" s="1"/>
  <c r="V312" i="2"/>
  <c r="U312" i="2"/>
  <c r="W312" i="2"/>
  <c r="S288" i="2"/>
  <c r="Z288" i="2" s="1"/>
  <c r="T288" i="2"/>
  <c r="AA288" i="2" s="1"/>
  <c r="V288" i="2"/>
  <c r="U288" i="2"/>
  <c r="W288" i="2"/>
  <c r="S264" i="2"/>
  <c r="Z264" i="2" s="1"/>
  <c r="T264" i="2"/>
  <c r="AA264" i="2" s="1"/>
  <c r="V264" i="2"/>
  <c r="U264" i="2"/>
  <c r="W264" i="2"/>
  <c r="S240" i="2"/>
  <c r="Z240" i="2" s="1"/>
  <c r="T240" i="2"/>
  <c r="AA240" i="2" s="1"/>
  <c r="V240" i="2"/>
  <c r="U240" i="2"/>
  <c r="W240" i="2"/>
  <c r="S216" i="2"/>
  <c r="Z216" i="2" s="1"/>
  <c r="T216" i="2"/>
  <c r="AA216" i="2" s="1"/>
  <c r="V216" i="2"/>
  <c r="U216" i="2"/>
  <c r="W216" i="2"/>
  <c r="S180" i="2"/>
  <c r="Z180" i="2" s="1"/>
  <c r="T180" i="2"/>
  <c r="AA180" i="2" s="1"/>
  <c r="V180" i="2"/>
  <c r="U180" i="2"/>
  <c r="W180" i="2"/>
  <c r="S156" i="2"/>
  <c r="Z156" i="2" s="1"/>
  <c r="T156" i="2"/>
  <c r="AA156" i="2" s="1"/>
  <c r="V156" i="2"/>
  <c r="U156" i="2"/>
  <c r="W156" i="2"/>
  <c r="S132" i="2"/>
  <c r="Z132" i="2" s="1"/>
  <c r="T132" i="2"/>
  <c r="AA132" i="2" s="1"/>
  <c r="V132" i="2"/>
  <c r="U132" i="2"/>
  <c r="W132" i="2"/>
  <c r="S108" i="2"/>
  <c r="Z108" i="2" s="1"/>
  <c r="T108" i="2"/>
  <c r="AA108" i="2" s="1"/>
  <c r="V108" i="2"/>
  <c r="U108" i="2"/>
  <c r="W108" i="2"/>
  <c r="S84" i="2"/>
  <c r="Z84" i="2" s="1"/>
  <c r="T84" i="2"/>
  <c r="AA84" i="2" s="1"/>
  <c r="V84" i="2"/>
  <c r="U84" i="2"/>
  <c r="W84" i="2"/>
  <c r="S60" i="2"/>
  <c r="Z60" i="2" s="1"/>
  <c r="T60" i="2"/>
  <c r="AA60" i="2" s="1"/>
  <c r="V60" i="2"/>
  <c r="U60" i="2"/>
  <c r="W60" i="2"/>
  <c r="AC159" i="2" l="1"/>
  <c r="AE159" i="2" s="1" a="1"/>
  <c r="AE159" i="2" s="1"/>
  <c r="AT159" i="8"/>
  <c r="AC188" i="2"/>
  <c r="AT188" i="8"/>
  <c r="AB162" i="2"/>
  <c r="AE188" i="2" a="1"/>
  <c r="AE188" i="2" s="1"/>
  <c r="Z348" i="2"/>
  <c r="AB83" i="2"/>
  <c r="AC83" i="2" l="1"/>
  <c r="AE83" i="2" s="1" a="1"/>
  <c r="AE83" i="2" s="1"/>
  <c r="AT83" i="8"/>
  <c r="AC162" i="2"/>
  <c r="AE162" i="2" s="1" a="1"/>
  <c r="AE162" i="2" s="1"/>
  <c r="AT162" i="8"/>
  <c r="C46" i="9"/>
  <c r="C45" i="9"/>
  <c r="S385" i="8" l="1"/>
  <c r="T385" i="8"/>
  <c r="U385" i="8"/>
  <c r="V385" i="8"/>
  <c r="W385" i="8"/>
  <c r="X385" i="8"/>
  <c r="Y385" i="8"/>
  <c r="Z385" i="8"/>
  <c r="AA385" i="8"/>
  <c r="AB385" i="8"/>
  <c r="AC385" i="8"/>
  <c r="AD385" i="8"/>
  <c r="BE5" i="8" l="1"/>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BF14" i="8" l="1"/>
  <c r="BF10" i="8"/>
  <c r="BF6" i="8"/>
  <c r="BF9" i="8"/>
  <c r="BF5" i="8"/>
  <c r="AU385" i="8"/>
  <c r="AW385" i="8"/>
  <c r="AY385" i="8"/>
  <c r="BB385" i="8"/>
  <c r="BD385" i="8"/>
  <c r="BF13" i="8"/>
  <c r="AV385" i="8"/>
  <c r="AX385" i="8"/>
  <c r="AZ385" i="8"/>
  <c r="BA385" i="8"/>
  <c r="BC385" i="8"/>
  <c r="BE385"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385" i="8" l="1"/>
  <c r="AO385" i="8"/>
  <c r="N385" i="8"/>
  <c r="AN385" i="8"/>
  <c r="M385" i="8"/>
  <c r="AM385" i="8"/>
  <c r="K385" i="8"/>
  <c r="L385" i="8"/>
  <c r="BF385" i="8"/>
  <c r="P33" i="2"/>
  <c r="Q33" i="8" s="1"/>
  <c r="P34" i="2"/>
  <c r="Q34" i="8" s="1"/>
  <c r="P35" i="2"/>
  <c r="Q35" i="8" s="1"/>
  <c r="P36" i="2"/>
  <c r="Q36" i="8" s="1"/>
  <c r="P15" i="2"/>
  <c r="Q15" i="8" s="1"/>
  <c r="P16" i="2"/>
  <c r="Q16" i="8" s="1"/>
  <c r="P17" i="2"/>
  <c r="Q17" i="8" s="1"/>
  <c r="P18" i="2"/>
  <c r="Q18" i="8" s="1"/>
  <c r="P19" i="2"/>
  <c r="Q19" i="8" s="1"/>
  <c r="P20" i="2"/>
  <c r="Q20" i="8" s="1"/>
  <c r="P21" i="2"/>
  <c r="Q21" i="8" s="1"/>
  <c r="P22" i="2"/>
  <c r="Q22" i="8" s="1"/>
  <c r="P23" i="2"/>
  <c r="Q23" i="8" s="1"/>
  <c r="P24" i="2"/>
  <c r="Q24" i="8" s="1"/>
  <c r="P25" i="2"/>
  <c r="Q25" i="8" s="1"/>
  <c r="P26" i="2"/>
  <c r="Q26" i="8" s="1"/>
  <c r="P27" i="2"/>
  <c r="Q27" i="8" s="1"/>
  <c r="P28" i="2"/>
  <c r="Q28" i="8" s="1"/>
  <c r="P29" i="2"/>
  <c r="Q29" i="8" s="1"/>
  <c r="P30" i="2"/>
  <c r="Q30" i="8" s="1"/>
  <c r="P31" i="2"/>
  <c r="Q31" i="8" s="1"/>
  <c r="P32" i="2"/>
  <c r="Q32" i="8" s="1"/>
  <c r="V28" i="2" l="1"/>
  <c r="V20" i="2"/>
  <c r="V16" i="2"/>
  <c r="V31" i="2"/>
  <c r="V19" i="2"/>
  <c r="U33" i="2"/>
  <c r="V33" i="2"/>
  <c r="S30" i="2"/>
  <c r="Z30" i="2" s="1"/>
  <c r="V30" i="2"/>
  <c r="V26" i="2"/>
  <c r="V22" i="2"/>
  <c r="V18" i="2"/>
  <c r="V36" i="2"/>
  <c r="V32" i="2"/>
  <c r="V24" i="2"/>
  <c r="V34" i="2"/>
  <c r="V27" i="2"/>
  <c r="V23" i="2"/>
  <c r="V15" i="2"/>
  <c r="V29" i="2"/>
  <c r="S25" i="2"/>
  <c r="Z25" i="2" s="1"/>
  <c r="V25" i="2"/>
  <c r="V21" i="2"/>
  <c r="V17" i="2"/>
  <c r="V35" i="2"/>
  <c r="S33" i="2"/>
  <c r="Z33" i="2" s="1"/>
  <c r="S34" i="2"/>
  <c r="Z34" i="2" s="1"/>
  <c r="W34" i="2"/>
  <c r="U34" i="2"/>
  <c r="T34" i="2"/>
  <c r="AA34" i="2" s="1"/>
  <c r="U22" i="2"/>
  <c r="T22" i="2"/>
  <c r="AA22" i="2" s="1"/>
  <c r="S26" i="2"/>
  <c r="Z26" i="2" s="1"/>
  <c r="W26" i="2"/>
  <c r="U30" i="2"/>
  <c r="S22" i="2"/>
  <c r="Z22" i="2" s="1"/>
  <c r="T31" i="2"/>
  <c r="AA31" i="2" s="1"/>
  <c r="T23" i="2"/>
  <c r="AA23" i="2" s="1"/>
  <c r="W19" i="2"/>
  <c r="W36" i="2"/>
  <c r="U36" i="2"/>
  <c r="T15" i="2"/>
  <c r="AA15" i="2" s="1"/>
  <c r="T21" i="2"/>
  <c r="AA21" i="2" s="1"/>
  <c r="W33" i="2"/>
  <c r="S36" i="2"/>
  <c r="Z36" i="2" s="1"/>
  <c r="W25" i="2"/>
  <c r="U29" i="2"/>
  <c r="T33" i="2"/>
  <c r="AA33" i="2" s="1"/>
  <c r="T36" i="2"/>
  <c r="AA36" i="2" s="1"/>
  <c r="T27" i="2"/>
  <c r="AA27" i="2" s="1"/>
  <c r="W18" i="2"/>
  <c r="U23" i="2"/>
  <c r="T26" i="2"/>
  <c r="AA26" i="2" s="1"/>
  <c r="T19" i="2"/>
  <c r="AA19" i="2" s="1"/>
  <c r="U17" i="2"/>
  <c r="T17" i="2"/>
  <c r="AA17" i="2" s="1"/>
  <c r="W30" i="2"/>
  <c r="W22" i="2"/>
  <c r="W17" i="2"/>
  <c r="U26" i="2"/>
  <c r="U21" i="2"/>
  <c r="T30" i="2"/>
  <c r="AA30" i="2" s="1"/>
  <c r="T25" i="2"/>
  <c r="AA25" i="2" s="1"/>
  <c r="S21" i="2"/>
  <c r="Z21" i="2" s="1"/>
  <c r="W35" i="2"/>
  <c r="U35" i="2"/>
  <c r="T35" i="2"/>
  <c r="AA35" i="2" s="1"/>
  <c r="S35" i="2"/>
  <c r="Z35" i="2" s="1"/>
  <c r="W29" i="2"/>
  <c r="W21" i="2"/>
  <c r="U25" i="2"/>
  <c r="U18" i="2"/>
  <c r="T29" i="2"/>
  <c r="AA29" i="2" s="1"/>
  <c r="T18" i="2"/>
  <c r="AA18" i="2" s="1"/>
  <c r="S29" i="2"/>
  <c r="Z29" i="2" s="1"/>
  <c r="S18" i="2"/>
  <c r="Z18" i="2" s="1"/>
  <c r="S17" i="2"/>
  <c r="Z17" i="2" s="1"/>
  <c r="T32" i="2"/>
  <c r="AA32" i="2" s="1"/>
  <c r="T28" i="2"/>
  <c r="AA28" i="2" s="1"/>
  <c r="T24" i="2"/>
  <c r="AA24" i="2" s="1"/>
  <c r="T20" i="2"/>
  <c r="AA20" i="2" s="1"/>
  <c r="T16" i="2"/>
  <c r="AA16" i="2" s="1"/>
  <c r="W31" i="2"/>
  <c r="W15" i="2"/>
  <c r="U19" i="2"/>
  <c r="W23" i="2"/>
  <c r="U27" i="2"/>
  <c r="W27" i="2"/>
  <c r="U31" i="2"/>
  <c r="U15" i="2"/>
  <c r="W32" i="2"/>
  <c r="W28" i="2"/>
  <c r="W24" i="2"/>
  <c r="W20" i="2"/>
  <c r="W16" i="2"/>
  <c r="U32" i="2"/>
  <c r="U28" i="2"/>
  <c r="U24" i="2"/>
  <c r="U20" i="2"/>
  <c r="U16" i="2"/>
  <c r="S32" i="2"/>
  <c r="Z32" i="2" s="1"/>
  <c r="S28" i="2"/>
  <c r="Z28" i="2" s="1"/>
  <c r="S24" i="2"/>
  <c r="Z24" i="2" s="1"/>
  <c r="S20" i="2"/>
  <c r="Z20" i="2" s="1"/>
  <c r="S16" i="2"/>
  <c r="Z16" i="2" s="1"/>
  <c r="S31" i="2"/>
  <c r="Z31" i="2" s="1"/>
  <c r="S27" i="2"/>
  <c r="Z27" i="2" s="1"/>
  <c r="S23" i="2"/>
  <c r="Z23" i="2" s="1"/>
  <c r="S19" i="2"/>
  <c r="Z19" i="2" s="1"/>
  <c r="S15" i="2"/>
  <c r="Z15" i="2" s="1"/>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V6" i="2" s="1"/>
  <c r="P7" i="2"/>
  <c r="V7" i="2" s="1"/>
  <c r="P8" i="2"/>
  <c r="V8" i="2" s="1"/>
  <c r="P9" i="2"/>
  <c r="V9" i="2" s="1"/>
  <c r="P10" i="2"/>
  <c r="V10" i="2" s="1"/>
  <c r="P11" i="2"/>
  <c r="V11" i="2" s="1"/>
  <c r="P12" i="2"/>
  <c r="V12" i="2" s="1"/>
  <c r="P13" i="2"/>
  <c r="V13" i="2" s="1"/>
  <c r="P14" i="2"/>
  <c r="V14" i="2" s="1"/>
  <c r="H385" i="2"/>
  <c r="G385" i="2"/>
  <c r="T3" i="8"/>
  <c r="I3" i="8"/>
  <c r="H3" i="8"/>
  <c r="I3" i="2"/>
  <c r="H3" i="2"/>
  <c r="G3" i="2"/>
  <c r="C48" i="9"/>
  <c r="C3" i="8"/>
  <c r="D3" i="8"/>
  <c r="B3" i="2"/>
  <c r="C3" i="2"/>
  <c r="C42" i="9"/>
  <c r="D385" i="8" l="1"/>
  <c r="AE385" i="8"/>
  <c r="I385" i="8"/>
  <c r="AJ385" i="8"/>
  <c r="O385" i="8"/>
  <c r="F385" i="8"/>
  <c r="AF385" i="8"/>
  <c r="H385" i="8"/>
  <c r="AK385" i="8"/>
  <c r="C385" i="8"/>
  <c r="AH385" i="8"/>
  <c r="AI385" i="8"/>
  <c r="E385" i="8"/>
  <c r="J385" i="8"/>
  <c r="P385" i="8"/>
  <c r="AG385" i="8"/>
  <c r="G385" i="8"/>
  <c r="AL385" i="8"/>
  <c r="AQ9" i="8"/>
  <c r="AR9" i="8"/>
  <c r="AR10" i="8"/>
  <c r="AR13" i="8"/>
  <c r="AR5" i="8"/>
  <c r="AR8" i="8"/>
  <c r="AQ12" i="8"/>
  <c r="AR12" i="8"/>
  <c r="AQ7" i="8"/>
  <c r="AR7" i="8"/>
  <c r="AR11" i="8"/>
  <c r="AR14" i="8"/>
  <c r="AR6" i="8"/>
  <c r="AQ13" i="8"/>
  <c r="AQ5" i="8"/>
  <c r="AQ8" i="8"/>
  <c r="AQ10" i="8"/>
  <c r="AQ11" i="8"/>
  <c r="AQ14" i="8"/>
  <c r="AQ6" i="8"/>
  <c r="U5" i="2"/>
  <c r="V5" i="2"/>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AG188" i="2" l="1"/>
  <c r="AG162" i="2"/>
  <c r="AG159" i="2"/>
  <c r="AG83" i="2"/>
  <c r="Q385" i="8"/>
  <c r="AQ385" i="8"/>
  <c r="AR385" i="8"/>
  <c r="BG5" i="8"/>
  <c r="C44" i="9" l="1"/>
  <c r="B14" i="3"/>
  <c r="A1" i="9"/>
  <c r="B40" i="9"/>
  <c r="B35" i="9"/>
  <c r="B24" i="3"/>
  <c r="B7" i="9" l="1"/>
  <c r="BO1" i="8" l="1"/>
  <c r="A1" i="2"/>
  <c r="F385" i="2"/>
  <c r="I385" i="2"/>
  <c r="W3" i="2"/>
  <c r="T3" i="2"/>
  <c r="S3" i="2"/>
  <c r="R3" i="2"/>
  <c r="Q3" i="2"/>
  <c r="BA3" i="8"/>
  <c r="AX3" i="8"/>
  <c r="AW3" i="8"/>
  <c r="AV3" i="8"/>
  <c r="AU3" i="8"/>
  <c r="AL3" i="8"/>
  <c r="AI3" i="8"/>
  <c r="AH3" i="8"/>
  <c r="AG3" i="8"/>
  <c r="AE3" i="8"/>
  <c r="AF3" i="8"/>
  <c r="Z3" i="8"/>
  <c r="W3" i="8"/>
  <c r="V3" i="8"/>
  <c r="U3" i="8"/>
  <c r="S3" i="8"/>
  <c r="J3" i="8"/>
  <c r="G3" i="8"/>
  <c r="F3" i="8"/>
  <c r="E3" i="8"/>
  <c r="F3" i="2"/>
  <c r="E3" i="2"/>
  <c r="D3" i="2"/>
  <c r="D385" i="2" l="1"/>
  <c r="E385" i="2"/>
  <c r="R204" i="2" l="1"/>
  <c r="Y204" i="2" s="1"/>
  <c r="R278" i="2"/>
  <c r="Y278" i="2" s="1"/>
  <c r="R349" i="2"/>
  <c r="Y349" i="2" s="1"/>
  <c r="R205" i="2"/>
  <c r="Y205" i="2" s="1"/>
  <c r="R350" i="2"/>
  <c r="Y350" i="2" s="1"/>
  <c r="R206" i="2"/>
  <c r="Y206" i="2" s="1"/>
  <c r="R283" i="2"/>
  <c r="Y283" i="2" s="1"/>
  <c r="R355" i="2"/>
  <c r="Y355" i="2" s="1"/>
  <c r="R201" i="2"/>
  <c r="Y201" i="2" s="1"/>
  <c r="R254" i="2"/>
  <c r="Y254" i="2" s="1"/>
  <c r="R211" i="2"/>
  <c r="Y211" i="2" s="1"/>
  <c r="R212" i="2"/>
  <c r="Y212" i="2" s="1"/>
  <c r="R213" i="2"/>
  <c r="Y213" i="2" s="1"/>
  <c r="R298" i="2"/>
  <c r="Y298" i="2" s="1"/>
  <c r="R214" i="2"/>
  <c r="Y214" i="2" s="1"/>
  <c r="R301" i="2"/>
  <c r="Y301" i="2" s="1"/>
  <c r="R370" i="2"/>
  <c r="Y370" i="2" s="1"/>
  <c r="R215" i="2"/>
  <c r="Y215" i="2" s="1"/>
  <c r="R302" i="2"/>
  <c r="Y302" i="2" s="1"/>
  <c r="R373" i="2"/>
  <c r="Y373" i="2" s="1"/>
  <c r="R217" i="2"/>
  <c r="Y217" i="2" s="1"/>
  <c r="R305" i="2"/>
  <c r="Y305" i="2" s="1"/>
  <c r="R374" i="2"/>
  <c r="Y374" i="2" s="1"/>
  <c r="R226" i="2"/>
  <c r="Y226" i="2" s="1"/>
  <c r="R228" i="2"/>
  <c r="Y228" i="2" s="1"/>
  <c r="R307" i="2"/>
  <c r="Y307" i="2" s="1"/>
  <c r="R379" i="2"/>
  <c r="Y379" i="2" s="1"/>
  <c r="R229" i="2"/>
  <c r="Y229" i="2" s="1"/>
  <c r="R308" i="2"/>
  <c r="Y308" i="2" s="1"/>
  <c r="R380" i="2"/>
  <c r="Y380" i="2" s="1"/>
  <c r="R230" i="2"/>
  <c r="Y230" i="2" s="1"/>
  <c r="R309" i="2"/>
  <c r="Y309" i="2" s="1"/>
  <c r="R381" i="2"/>
  <c r="Y381" i="2" s="1"/>
  <c r="R235" i="2"/>
  <c r="Y235" i="2" s="1"/>
  <c r="R310" i="2"/>
  <c r="Y310" i="2" s="1"/>
  <c r="R237" i="2"/>
  <c r="Y237" i="2" s="1"/>
  <c r="R311" i="2"/>
  <c r="Y311" i="2" s="1"/>
  <c r="R238" i="2"/>
  <c r="Y238" i="2" s="1"/>
  <c r="R313" i="2"/>
  <c r="Y313" i="2" s="1"/>
  <c r="R239" i="2"/>
  <c r="Y239" i="2" s="1"/>
  <c r="R322" i="2"/>
  <c r="Y322" i="2" s="1"/>
  <c r="R241" i="2"/>
  <c r="Y241" i="2" s="1"/>
  <c r="R324" i="2"/>
  <c r="Y324" i="2" s="1"/>
  <c r="R250" i="2"/>
  <c r="Y250" i="2" s="1"/>
  <c r="R325" i="2"/>
  <c r="Y325" i="2" s="1"/>
  <c r="R252" i="2"/>
  <c r="Y252" i="2" s="1"/>
  <c r="R326" i="2"/>
  <c r="Y326" i="2" s="1"/>
  <c r="R196" i="2"/>
  <c r="Y196" i="2" s="1"/>
  <c r="R253" i="2"/>
  <c r="Y253" i="2" s="1"/>
  <c r="R334" i="2"/>
  <c r="Y334" i="2" s="1"/>
  <c r="R335" i="2"/>
  <c r="Y335" i="2" s="1"/>
  <c r="R202" i="2"/>
  <c r="Y202" i="2" s="1"/>
  <c r="R277" i="2"/>
  <c r="Y277" i="2" s="1"/>
  <c r="R348" i="2"/>
  <c r="Y348" i="2" s="1"/>
  <c r="R359" i="2"/>
  <c r="Y359" i="2" s="1"/>
  <c r="R378" i="2"/>
  <c r="Y378" i="2" s="1"/>
  <c r="R346" i="2"/>
  <c r="Y346" i="2" s="1"/>
  <c r="R243" i="2"/>
  <c r="Y243" i="2" s="1"/>
  <c r="R203" i="2"/>
  <c r="Y203" i="2" s="1"/>
  <c r="R276" i="2"/>
  <c r="Y276" i="2" s="1"/>
  <c r="R384" i="2"/>
  <c r="Y384" i="2" s="1"/>
  <c r="R288" i="2"/>
  <c r="Y288" i="2" s="1"/>
  <c r="R296" i="2"/>
  <c r="Y296" i="2" s="1"/>
  <c r="R358" i="2"/>
  <c r="Y358" i="2" s="1"/>
  <c r="R331" i="2"/>
  <c r="Y331" i="2" s="1"/>
  <c r="R274" i="2"/>
  <c r="Y274" i="2" s="1"/>
  <c r="R249" i="2"/>
  <c r="Y249" i="2" s="1"/>
  <c r="R368" i="2"/>
  <c r="Y368" i="2" s="1"/>
  <c r="R286" i="2"/>
  <c r="Y286" i="2" s="1"/>
  <c r="R259" i="2"/>
  <c r="Y259" i="2" s="1"/>
  <c r="R369" i="2"/>
  <c r="Y369" i="2" s="1"/>
  <c r="R294" i="2"/>
  <c r="Y294" i="2" s="1"/>
  <c r="R293" i="2"/>
  <c r="Y293" i="2" s="1"/>
  <c r="R360" i="2"/>
  <c r="Y360" i="2" s="1"/>
  <c r="R372" i="2"/>
  <c r="Y372" i="2" s="1"/>
  <c r="R314" i="2"/>
  <c r="Y314" i="2" s="1"/>
  <c r="R357" i="2"/>
  <c r="Y357" i="2" s="1"/>
  <c r="R258" i="2"/>
  <c r="Y258" i="2" s="1"/>
  <c r="R345" i="2"/>
  <c r="Y345" i="2" s="1"/>
  <c r="R195" i="2"/>
  <c r="Y195" i="2" s="1"/>
  <c r="R272" i="2"/>
  <c r="Y272" i="2" s="1"/>
  <c r="R285" i="2"/>
  <c r="Y285" i="2" s="1"/>
  <c r="R234" i="2"/>
  <c r="Y234" i="2" s="1"/>
  <c r="R321" i="2"/>
  <c r="Y321" i="2" s="1"/>
  <c r="R267" i="2"/>
  <c r="Y267" i="2" s="1"/>
  <c r="R264" i="2"/>
  <c r="Y264" i="2" s="1"/>
  <c r="R240" i="2"/>
  <c r="Y240" i="2" s="1"/>
  <c r="R200" i="2"/>
  <c r="Y200" i="2" s="1"/>
  <c r="R284" i="2"/>
  <c r="Y284" i="2" s="1"/>
  <c r="R257" i="2"/>
  <c r="Y257" i="2" s="1"/>
  <c r="R297" i="2"/>
  <c r="Y297" i="2" s="1"/>
  <c r="R337" i="2"/>
  <c r="Y337" i="2" s="1"/>
  <c r="R218" i="2"/>
  <c r="Y218" i="2" s="1"/>
  <c r="R306" i="2"/>
  <c r="Y306" i="2" s="1"/>
  <c r="R233" i="2"/>
  <c r="Y233" i="2" s="1"/>
  <c r="R273" i="2"/>
  <c r="Y273" i="2" s="1"/>
  <c r="R376" i="2"/>
  <c r="Y376" i="2" s="1"/>
  <c r="R219" i="2"/>
  <c r="Y219" i="2" s="1"/>
  <c r="R224" i="2"/>
  <c r="Y224" i="2" s="1"/>
  <c r="R282" i="2"/>
  <c r="Y282" i="2" s="1"/>
  <c r="R304" i="2"/>
  <c r="Y304" i="2" s="1"/>
  <c r="R375" i="2"/>
  <c r="Y375" i="2" s="1"/>
  <c r="R339" i="2"/>
  <c r="Y339" i="2" s="1"/>
  <c r="R209" i="2"/>
  <c r="Y209" i="2" s="1"/>
  <c r="R256" i="2"/>
  <c r="Y256" i="2" s="1"/>
  <c r="R328" i="2"/>
  <c r="Y328" i="2" s="1"/>
  <c r="R366" i="2"/>
  <c r="Y366" i="2" s="1"/>
  <c r="R365" i="2"/>
  <c r="Y365" i="2" s="1"/>
  <c r="R291" i="2"/>
  <c r="Y291" i="2" s="1"/>
  <c r="R290" i="2"/>
  <c r="Y290" i="2" s="1"/>
  <c r="R344" i="2"/>
  <c r="Y344" i="2" s="1"/>
  <c r="R248" i="2"/>
  <c r="Y248" i="2" s="1"/>
  <c r="R216" i="2"/>
  <c r="Y216" i="2" s="1"/>
  <c r="R260" i="2"/>
  <c r="Y260" i="2" s="1"/>
  <c r="R342" i="2"/>
  <c r="Y342" i="2" s="1"/>
  <c r="R232" i="2"/>
  <c r="Y232" i="2" s="1"/>
  <c r="R377" i="2"/>
  <c r="Y377" i="2" s="1"/>
  <c r="R280" i="2"/>
  <c r="Y280" i="2" s="1"/>
  <c r="R353" i="2"/>
  <c r="Y353" i="2" s="1"/>
  <c r="R221" i="2"/>
  <c r="Y221" i="2" s="1"/>
  <c r="R220" i="2"/>
  <c r="Y220" i="2" s="1"/>
  <c r="R227" i="2"/>
  <c r="Y227" i="2" s="1"/>
  <c r="R275" i="2"/>
  <c r="Y275" i="2" s="1"/>
  <c r="R343" i="2"/>
  <c r="Y343" i="2" s="1"/>
  <c r="R271" i="2"/>
  <c r="Y271" i="2" s="1"/>
  <c r="R315" i="2"/>
  <c r="Y315" i="2" s="1"/>
  <c r="R208" i="2"/>
  <c r="Y208" i="2" s="1"/>
  <c r="R231" i="2"/>
  <c r="Y231" i="2" s="1"/>
  <c r="R266" i="2"/>
  <c r="Y266" i="2" s="1"/>
  <c r="R199" i="2"/>
  <c r="Y199" i="2" s="1"/>
  <c r="R247" i="2"/>
  <c r="Y247" i="2" s="1"/>
  <c r="R338" i="2"/>
  <c r="Y338" i="2" s="1"/>
  <c r="R361" i="2"/>
  <c r="Y361" i="2" s="1"/>
  <c r="R279" i="2"/>
  <c r="Y279" i="2" s="1"/>
  <c r="R364" i="2"/>
  <c r="Y364" i="2" s="1"/>
  <c r="R317" i="2"/>
  <c r="Y317" i="2" s="1"/>
  <c r="R244" i="2"/>
  <c r="Y244" i="2" s="1"/>
  <c r="R299" i="2"/>
  <c r="Y299" i="2" s="1"/>
  <c r="R289" i="2"/>
  <c r="Y289" i="2" s="1"/>
  <c r="R351" i="2"/>
  <c r="Y351" i="2" s="1"/>
  <c r="R295" i="2"/>
  <c r="Y295" i="2" s="1"/>
  <c r="R336" i="2"/>
  <c r="Y336" i="2" s="1"/>
  <c r="R265" i="2"/>
  <c r="Y265" i="2" s="1"/>
  <c r="R327" i="2"/>
  <c r="Y327" i="2" s="1"/>
  <c r="R269" i="2"/>
  <c r="Y269" i="2" s="1"/>
  <c r="R287" i="2"/>
  <c r="Y287" i="2" s="1"/>
  <c r="R303" i="2"/>
  <c r="Y303" i="2" s="1"/>
  <c r="R268" i="2"/>
  <c r="Y268" i="2" s="1"/>
  <c r="R363" i="2"/>
  <c r="Y363" i="2" s="1"/>
  <c r="R318" i="2"/>
  <c r="Y318" i="2" s="1"/>
  <c r="R316" i="2"/>
  <c r="Y316" i="2" s="1"/>
  <c r="R319" i="2"/>
  <c r="Y319" i="2" s="1"/>
  <c r="R320" i="2"/>
  <c r="Y320" i="2" s="1"/>
  <c r="R263" i="2"/>
  <c r="Y263" i="2" s="1"/>
  <c r="R255" i="2"/>
  <c r="Y255" i="2" s="1"/>
  <c r="R198" i="2"/>
  <c r="Y198" i="2" s="1"/>
  <c r="R292" i="2"/>
  <c r="Y292" i="2" s="1"/>
  <c r="R246" i="2"/>
  <c r="Y246" i="2" s="1"/>
  <c r="R382" i="2"/>
  <c r="Y382" i="2" s="1"/>
  <c r="R207" i="2"/>
  <c r="Y207" i="2" s="1"/>
  <c r="R330" i="2"/>
  <c r="Y330" i="2" s="1"/>
  <c r="R354" i="2"/>
  <c r="Y354" i="2" s="1"/>
  <c r="R222" i="2"/>
  <c r="Y222" i="2" s="1"/>
  <c r="R270" i="2"/>
  <c r="Y270" i="2" s="1"/>
  <c r="R251" i="2"/>
  <c r="Y251" i="2" s="1"/>
  <c r="R312" i="2"/>
  <c r="Y312" i="2" s="1"/>
  <c r="R367" i="2"/>
  <c r="Y367" i="2" s="1"/>
  <c r="R262" i="2"/>
  <c r="Y262" i="2" s="1"/>
  <c r="R210" i="2"/>
  <c r="Y210" i="2" s="1"/>
  <c r="R352" i="2"/>
  <c r="Y352" i="2" s="1"/>
  <c r="R340" i="2"/>
  <c r="Y340" i="2" s="1"/>
  <c r="R225" i="2"/>
  <c r="Y225" i="2" s="1"/>
  <c r="R333" i="2"/>
  <c r="Y333" i="2" s="1"/>
  <c r="R383" i="2"/>
  <c r="Y383" i="2" s="1"/>
  <c r="R362" i="2"/>
  <c r="Y362" i="2" s="1"/>
  <c r="R300" i="2"/>
  <c r="Y300" i="2" s="1"/>
  <c r="R261" i="2"/>
  <c r="Y261" i="2" s="1"/>
  <c r="R371" i="2"/>
  <c r="Y371" i="2" s="1"/>
  <c r="R329" i="2"/>
  <c r="Y329" i="2" s="1"/>
  <c r="R197" i="2"/>
  <c r="Y197" i="2" s="1"/>
  <c r="R356" i="2"/>
  <c r="Y356" i="2" s="1"/>
  <c r="R347" i="2"/>
  <c r="Y347" i="2" s="1"/>
  <c r="R332" i="2"/>
  <c r="Y332" i="2" s="1"/>
  <c r="R323" i="2"/>
  <c r="Y323" i="2" s="1"/>
  <c r="R341" i="2"/>
  <c r="Y341" i="2" s="1"/>
  <c r="R242" i="2"/>
  <c r="Y242" i="2" s="1"/>
  <c r="R236" i="2"/>
  <c r="Y236" i="2" s="1"/>
  <c r="R245" i="2"/>
  <c r="Y245" i="2" s="1"/>
  <c r="R281" i="2"/>
  <c r="Y281" i="2" s="1"/>
  <c r="R223" i="2"/>
  <c r="Y223" i="2" s="1"/>
  <c r="A3" i="6"/>
  <c r="A4" i="6"/>
  <c r="A5" i="6"/>
  <c r="A6" i="6"/>
  <c r="A7" i="6"/>
  <c r="A8" i="6"/>
  <c r="A9" i="6"/>
  <c r="A10" i="6"/>
  <c r="A11" i="6"/>
  <c r="A12" i="6"/>
  <c r="A1" i="8"/>
  <c r="A1" i="6"/>
  <c r="B385" i="2" l="1"/>
  <c r="C385" i="2"/>
  <c r="N385" i="2"/>
  <c r="O385" i="2"/>
  <c r="A385" i="2"/>
  <c r="Q274" i="2" l="1"/>
  <c r="Q277" i="2"/>
  <c r="Q270" i="2"/>
  <c r="Q223" i="2"/>
  <c r="Q313" i="2"/>
  <c r="Q319" i="2"/>
  <c r="Q352" i="2"/>
  <c r="Q279" i="2"/>
  <c r="Q255" i="2"/>
  <c r="Q248" i="2"/>
  <c r="Q273" i="2"/>
  <c r="R67" i="2"/>
  <c r="Y67" i="2" s="1"/>
  <c r="R38" i="2"/>
  <c r="Y38" i="2" s="1"/>
  <c r="R82" i="2"/>
  <c r="Y82" i="2" s="1"/>
  <c r="R167" i="2"/>
  <c r="Y167" i="2" s="1"/>
  <c r="R97" i="2"/>
  <c r="Y97" i="2" s="1"/>
  <c r="R153" i="2"/>
  <c r="Y153" i="2" s="1"/>
  <c r="R122" i="2"/>
  <c r="Y122" i="2" s="1"/>
  <c r="R36" i="2"/>
  <c r="Y36" i="2" s="1"/>
  <c r="R101" i="2"/>
  <c r="Y101" i="2" s="1"/>
  <c r="R135" i="2"/>
  <c r="Y135" i="2" s="1"/>
  <c r="R74" i="2"/>
  <c r="Y74" i="2" s="1"/>
  <c r="R123" i="2"/>
  <c r="Y123" i="2" s="1"/>
  <c r="R119" i="2"/>
  <c r="Y119" i="2" s="1"/>
  <c r="R25" i="2"/>
  <c r="Y25" i="2" s="1"/>
  <c r="R193" i="2"/>
  <c r="Y193" i="2" s="1"/>
  <c r="R18" i="2"/>
  <c r="Y18" i="2" s="1"/>
  <c r="R169" i="2"/>
  <c r="Y169" i="2" s="1"/>
  <c r="R102" i="2"/>
  <c r="Y102" i="2" s="1"/>
  <c r="R29" i="2"/>
  <c r="Y29" i="2" s="1"/>
  <c r="R23" i="2"/>
  <c r="Y23" i="2" s="1"/>
  <c r="R165" i="2"/>
  <c r="Y165" i="2" s="1"/>
  <c r="R88" i="2"/>
  <c r="Y88" i="2" s="1"/>
  <c r="R104" i="2"/>
  <c r="Y104" i="2" s="1"/>
  <c r="R112" i="2"/>
  <c r="Y112" i="2" s="1"/>
  <c r="R106" i="2"/>
  <c r="Y106" i="2" s="1"/>
  <c r="R72" i="2"/>
  <c r="Y72" i="2" s="1"/>
  <c r="R118" i="2"/>
  <c r="Y118" i="2" s="1"/>
  <c r="R50" i="2"/>
  <c r="Y50" i="2" s="1"/>
  <c r="R142" i="2"/>
  <c r="Y142" i="2" s="1"/>
  <c r="R129" i="2"/>
  <c r="Y129" i="2" s="1"/>
  <c r="R147" i="2"/>
  <c r="Y147" i="2" s="1"/>
  <c r="R21" i="2"/>
  <c r="Y21" i="2" s="1"/>
  <c r="R152" i="2"/>
  <c r="Y152" i="2" s="1"/>
  <c r="R185" i="2"/>
  <c r="Y185" i="2" s="1"/>
  <c r="R22" i="2"/>
  <c r="Y22" i="2" s="1"/>
  <c r="R58" i="2"/>
  <c r="Y58" i="2" s="1"/>
  <c r="R68" i="2"/>
  <c r="Y68" i="2" s="1"/>
  <c r="R144" i="2"/>
  <c r="Y144" i="2" s="1"/>
  <c r="R46" i="2"/>
  <c r="Y46" i="2" s="1"/>
  <c r="R128" i="2"/>
  <c r="Y128" i="2" s="1"/>
  <c r="R56" i="2"/>
  <c r="Y56" i="2" s="1"/>
  <c r="R103" i="2"/>
  <c r="Y103" i="2" s="1"/>
  <c r="R121" i="2"/>
  <c r="Y121" i="2" s="1"/>
  <c r="R15" i="2"/>
  <c r="Y15" i="2" s="1"/>
  <c r="R17" i="2"/>
  <c r="Y17" i="2" s="1"/>
  <c r="R37" i="2"/>
  <c r="Y37" i="2" s="1"/>
  <c r="R49" i="2"/>
  <c r="Y49" i="2" s="1"/>
  <c r="R143" i="2"/>
  <c r="Y143" i="2" s="1"/>
  <c r="R113" i="2"/>
  <c r="Y113" i="2" s="1"/>
  <c r="R192" i="2"/>
  <c r="Y192" i="2" s="1"/>
  <c r="R90" i="2"/>
  <c r="Y90" i="2" s="1"/>
  <c r="R178" i="2"/>
  <c r="Y178" i="2" s="1"/>
  <c r="R26" i="2"/>
  <c r="Y26" i="2" s="1"/>
  <c r="R168" i="2"/>
  <c r="Y168" i="2" s="1"/>
  <c r="R20" i="2"/>
  <c r="Y20" i="2" s="1"/>
  <c r="R177" i="2"/>
  <c r="Y177" i="2" s="1"/>
  <c r="R81" i="2"/>
  <c r="Y81" i="2" s="1"/>
  <c r="R34" i="2"/>
  <c r="Y34" i="2" s="1"/>
  <c r="R79" i="2"/>
  <c r="Y79" i="2" s="1"/>
  <c r="R179" i="2"/>
  <c r="Y179" i="2" s="1"/>
  <c r="R65" i="2"/>
  <c r="Y65" i="2" s="1"/>
  <c r="R92" i="2"/>
  <c r="Y92" i="2" s="1"/>
  <c r="R76" i="2"/>
  <c r="Y76" i="2" s="1"/>
  <c r="R184" i="2"/>
  <c r="Y184" i="2" s="1"/>
  <c r="R133" i="2"/>
  <c r="Y133" i="2" s="1"/>
  <c r="R139" i="2"/>
  <c r="Y139" i="2" s="1"/>
  <c r="R127" i="2"/>
  <c r="Y127" i="2" s="1"/>
  <c r="R181" i="2"/>
  <c r="Y181" i="2" s="1"/>
  <c r="R157" i="2"/>
  <c r="Y157" i="2" s="1"/>
  <c r="R44" i="2"/>
  <c r="Y44" i="2" s="1"/>
  <c r="R174" i="2"/>
  <c r="Y174" i="2" s="1"/>
  <c r="R141" i="2"/>
  <c r="Y141" i="2" s="1"/>
  <c r="R173" i="2"/>
  <c r="Y173" i="2" s="1"/>
  <c r="R54" i="2"/>
  <c r="Y54" i="2" s="1"/>
  <c r="R73" i="2"/>
  <c r="Y73" i="2" s="1"/>
  <c r="R99" i="2"/>
  <c r="Y99" i="2" s="1"/>
  <c r="R60" i="2"/>
  <c r="Y60" i="2" s="1"/>
  <c r="R33" i="2"/>
  <c r="Y33" i="2" s="1"/>
  <c r="R151" i="2"/>
  <c r="Y151" i="2" s="1"/>
  <c r="R156" i="2"/>
  <c r="Y156" i="2" s="1"/>
  <c r="R93" i="2"/>
  <c r="Y93" i="2" s="1"/>
  <c r="R171" i="2"/>
  <c r="Y171" i="2" s="1"/>
  <c r="R52" i="2"/>
  <c r="Y52" i="2" s="1"/>
  <c r="R55" i="2"/>
  <c r="Y55" i="2" s="1"/>
  <c r="R191" i="2"/>
  <c r="Y191" i="2" s="1"/>
  <c r="R95" i="2"/>
  <c r="Y95" i="2" s="1"/>
  <c r="R187" i="2"/>
  <c r="Y187" i="2" s="1"/>
  <c r="R85" i="2"/>
  <c r="Y85" i="2" s="1"/>
  <c r="R105" i="2"/>
  <c r="Y105" i="2" s="1"/>
  <c r="R125" i="2"/>
  <c r="Y125" i="2" s="1"/>
  <c r="R51" i="2"/>
  <c r="Y51" i="2" s="1"/>
  <c r="R126" i="2"/>
  <c r="Y126" i="2" s="1"/>
  <c r="R91" i="2"/>
  <c r="Y91" i="2" s="1"/>
  <c r="R155" i="2"/>
  <c r="Y155" i="2" s="1"/>
  <c r="R136" i="2"/>
  <c r="Y136" i="2" s="1"/>
  <c r="R194" i="2"/>
  <c r="Y194" i="2" s="1"/>
  <c r="R61" i="2"/>
  <c r="Y61" i="2" s="1"/>
  <c r="R32" i="2"/>
  <c r="Y32" i="2" s="1"/>
  <c r="R80" i="2"/>
  <c r="Y80" i="2" s="1"/>
  <c r="R48" i="2"/>
  <c r="Y48" i="2" s="1"/>
  <c r="R71" i="2"/>
  <c r="Y71" i="2" s="1"/>
  <c r="R131" i="2"/>
  <c r="Y131" i="2" s="1"/>
  <c r="R137" i="2"/>
  <c r="Y137" i="2" s="1"/>
  <c r="R134" i="2"/>
  <c r="Y134" i="2" s="1"/>
  <c r="R109" i="2"/>
  <c r="Y109" i="2" s="1"/>
  <c r="R39" i="2"/>
  <c r="Y39" i="2" s="1"/>
  <c r="R163" i="2"/>
  <c r="Y163" i="2" s="1"/>
  <c r="R98" i="2"/>
  <c r="Y98" i="2" s="1"/>
  <c r="R84" i="2"/>
  <c r="Y84" i="2" s="1"/>
  <c r="R107" i="2"/>
  <c r="Y107" i="2" s="1"/>
  <c r="R62" i="2"/>
  <c r="Y62" i="2" s="1"/>
  <c r="R148" i="2"/>
  <c r="Y148" i="2" s="1"/>
  <c r="R47" i="2"/>
  <c r="Y47" i="2" s="1"/>
  <c r="R24" i="2"/>
  <c r="Y24" i="2" s="1"/>
  <c r="R182" i="2"/>
  <c r="Y182" i="2" s="1"/>
  <c r="R114" i="2"/>
  <c r="Y114" i="2" s="1"/>
  <c r="R64" i="2"/>
  <c r="Y64" i="2" s="1"/>
  <c r="R57" i="2"/>
  <c r="Y57" i="2" s="1"/>
  <c r="R16" i="2"/>
  <c r="Y16" i="2" s="1"/>
  <c r="R132" i="2"/>
  <c r="Y132" i="2" s="1"/>
  <c r="R19" i="2"/>
  <c r="Y19" i="2" s="1"/>
  <c r="R160" i="2"/>
  <c r="Y160" i="2" s="1"/>
  <c r="R42" i="2"/>
  <c r="Y42" i="2" s="1"/>
  <c r="R100" i="2"/>
  <c r="Y100" i="2" s="1"/>
  <c r="R130" i="2"/>
  <c r="Y130" i="2" s="1"/>
  <c r="R69" i="2"/>
  <c r="Y69" i="2" s="1"/>
  <c r="R158" i="2"/>
  <c r="Y158" i="2" s="1"/>
  <c r="R45" i="2"/>
  <c r="Y45" i="2" s="1"/>
  <c r="R150" i="2"/>
  <c r="Y150" i="2" s="1"/>
  <c r="R41" i="2"/>
  <c r="Y41" i="2" s="1"/>
  <c r="R138" i="2"/>
  <c r="Y138" i="2" s="1"/>
  <c r="R28" i="2"/>
  <c r="Y28" i="2" s="1"/>
  <c r="R166" i="2"/>
  <c r="Y166" i="2" s="1"/>
  <c r="R172" i="2"/>
  <c r="Y172" i="2" s="1"/>
  <c r="R110" i="2"/>
  <c r="Y110" i="2" s="1"/>
  <c r="R40" i="2"/>
  <c r="Y40" i="2" s="1"/>
  <c r="R86" i="2"/>
  <c r="Y86" i="2" s="1"/>
  <c r="R176" i="2"/>
  <c r="Y176" i="2" s="1"/>
  <c r="R116" i="2"/>
  <c r="Y116" i="2" s="1"/>
  <c r="R124" i="2"/>
  <c r="Y124" i="2" s="1"/>
  <c r="R94" i="2"/>
  <c r="Y94" i="2" s="1"/>
  <c r="R35" i="2"/>
  <c r="Y35" i="2" s="1"/>
  <c r="R66" i="2"/>
  <c r="Y66" i="2" s="1"/>
  <c r="R145" i="2"/>
  <c r="Y145" i="2" s="1"/>
  <c r="R75" i="2"/>
  <c r="Y75" i="2" s="1"/>
  <c r="R120" i="2"/>
  <c r="Y120" i="2" s="1"/>
  <c r="R170" i="2"/>
  <c r="Y170" i="2" s="1"/>
  <c r="R77" i="2"/>
  <c r="Y77" i="2" s="1"/>
  <c r="R190" i="2"/>
  <c r="Y190" i="2" s="1"/>
  <c r="R63" i="2"/>
  <c r="Y63" i="2" s="1"/>
  <c r="R27" i="2"/>
  <c r="Y27" i="2" s="1"/>
  <c r="R89" i="2"/>
  <c r="Y89" i="2" s="1"/>
  <c r="R183" i="2"/>
  <c r="Y183" i="2" s="1"/>
  <c r="R115" i="2"/>
  <c r="Y115" i="2" s="1"/>
  <c r="R164" i="2"/>
  <c r="Y164" i="2" s="1"/>
  <c r="R87" i="2"/>
  <c r="Y87" i="2" s="1"/>
  <c r="R180" i="2"/>
  <c r="Y180" i="2" s="1"/>
  <c r="R96" i="2"/>
  <c r="Y96" i="2" s="1"/>
  <c r="R31" i="2"/>
  <c r="Y31" i="2" s="1"/>
  <c r="R161" i="2"/>
  <c r="Y161" i="2" s="1"/>
  <c r="R140" i="2"/>
  <c r="Y140" i="2" s="1"/>
  <c r="R189" i="2"/>
  <c r="Y189" i="2" s="1"/>
  <c r="R149" i="2"/>
  <c r="Y149" i="2" s="1"/>
  <c r="R175" i="2"/>
  <c r="Y175" i="2" s="1"/>
  <c r="R59" i="2"/>
  <c r="Y59" i="2" s="1"/>
  <c r="R70" i="2"/>
  <c r="Y70" i="2" s="1"/>
  <c r="R53" i="2"/>
  <c r="Y53" i="2" s="1"/>
  <c r="R30" i="2"/>
  <c r="Y30" i="2" s="1"/>
  <c r="R111" i="2"/>
  <c r="Y111" i="2" s="1"/>
  <c r="R117" i="2"/>
  <c r="Y117" i="2" s="1"/>
  <c r="R78" i="2"/>
  <c r="Y78" i="2" s="1"/>
  <c r="R146" i="2"/>
  <c r="Y146" i="2" s="1"/>
  <c r="R108" i="2"/>
  <c r="Y108" i="2" s="1"/>
  <c r="R154" i="2"/>
  <c r="Y154" i="2" s="1"/>
  <c r="R43" i="2"/>
  <c r="Y43" i="2" s="1"/>
  <c r="R186" i="2"/>
  <c r="Y186" i="2" s="1"/>
  <c r="Q212" i="2"/>
  <c r="Q302" i="2"/>
  <c r="Q213" i="2"/>
  <c r="Q229" i="2"/>
  <c r="Q311" i="2"/>
  <c r="Q230" i="2"/>
  <c r="Q301" i="2"/>
  <c r="Q325" i="2"/>
  <c r="Q326" i="2"/>
  <c r="Q235" i="2"/>
  <c r="Q331" i="2"/>
  <c r="X331" i="2" s="1"/>
  <c r="AB331" i="2" s="1"/>
  <c r="AT331" i="8" s="1"/>
  <c r="Q237" i="2"/>
  <c r="Q332" i="2"/>
  <c r="Q238" i="2"/>
  <c r="Q333" i="2"/>
  <c r="Q239" i="2"/>
  <c r="Q334" i="2"/>
  <c r="Q253" i="2"/>
  <c r="Q346" i="2"/>
  <c r="Q254" i="2"/>
  <c r="Q349" i="2"/>
  <c r="Q256" i="2"/>
  <c r="Q350" i="2"/>
  <c r="Q257" i="2"/>
  <c r="Q357" i="2"/>
  <c r="Q358" i="2"/>
  <c r="Q259" i="2"/>
  <c r="Q359" i="2"/>
  <c r="Q263" i="2"/>
  <c r="Q373" i="2"/>
  <c r="Q265" i="2"/>
  <c r="Q374" i="2"/>
  <c r="Q196" i="2"/>
  <c r="Q205" i="2"/>
  <c r="Q206" i="2"/>
  <c r="Q278" i="2"/>
  <c r="Q211" i="2"/>
  <c r="Q207" i="2"/>
  <c r="Q283" i="2"/>
  <c r="Q208" i="2"/>
  <c r="Q298" i="2"/>
  <c r="Q306" i="2"/>
  <c r="Q219" i="2"/>
  <c r="Q284" i="2"/>
  <c r="Q280" i="2"/>
  <c r="Q249" i="2"/>
  <c r="Q303" i="2"/>
  <c r="Q371" i="2"/>
  <c r="X371" i="2" s="1"/>
  <c r="AB371" i="2" s="1"/>
  <c r="AT371" i="8" s="1"/>
  <c r="Q368" i="2"/>
  <c r="X368" i="2" s="1"/>
  <c r="AB368" i="2" s="1"/>
  <c r="AT368" i="8" s="1"/>
  <c r="Q240" i="2"/>
  <c r="X240" i="2" s="1"/>
  <c r="AB240" i="2" s="1"/>
  <c r="AT240" i="8" s="1"/>
  <c r="Q369" i="2"/>
  <c r="X369" i="2" s="1"/>
  <c r="AB369" i="2" s="1"/>
  <c r="AT369" i="8" s="1"/>
  <c r="Q209" i="2"/>
  <c r="Q367" i="2"/>
  <c r="Q195" i="2"/>
  <c r="Q375" i="2"/>
  <c r="Q225" i="2"/>
  <c r="Q340" i="2"/>
  <c r="Q200" i="2"/>
  <c r="X200" i="2" s="1"/>
  <c r="AB200" i="2" s="1"/>
  <c r="AT200" i="8" s="1"/>
  <c r="Q344" i="2"/>
  <c r="Q343" i="2"/>
  <c r="Q231" i="2"/>
  <c r="Q201" i="2"/>
  <c r="X201" i="2" s="1"/>
  <c r="AB201" i="2" s="1"/>
  <c r="AT201" i="8" s="1"/>
  <c r="Q216" i="2"/>
  <c r="X216" i="2" s="1"/>
  <c r="AB216" i="2" s="1"/>
  <c r="AT216" i="8" s="1"/>
  <c r="Q295" i="2"/>
  <c r="Q290" i="2"/>
  <c r="Q362" i="2"/>
  <c r="Q323" i="2"/>
  <c r="X323" i="2" s="1"/>
  <c r="AB323" i="2" s="1"/>
  <c r="AT323" i="8" s="1"/>
  <c r="Q261" i="2"/>
  <c r="X261" i="2" s="1"/>
  <c r="AB261" i="2" s="1"/>
  <c r="AT261" i="8" s="1"/>
  <c r="Q312" i="2"/>
  <c r="X312" i="2" s="1"/>
  <c r="AB312" i="2" s="1"/>
  <c r="AT312" i="8" s="1"/>
  <c r="Q247" i="2"/>
  <c r="Q242" i="2"/>
  <c r="Q384" i="2"/>
  <c r="Q199" i="2"/>
  <c r="Q218" i="2"/>
  <c r="Q234" i="2"/>
  <c r="Q293" i="2"/>
  <c r="Q272" i="2"/>
  <c r="X272" i="2" s="1"/>
  <c r="AB272" i="2" s="1"/>
  <c r="AT272" i="8" s="1"/>
  <c r="Q345" i="2"/>
  <c r="X345" i="2" s="1"/>
  <c r="AB345" i="2" s="1"/>
  <c r="AT345" i="8" s="1"/>
  <c r="Q366" i="2"/>
  <c r="Q361" i="2"/>
  <c r="Q339" i="2"/>
  <c r="Q275" i="2"/>
  <c r="Q262" i="2"/>
  <c r="X262" i="2" s="1"/>
  <c r="AB262" i="2" s="1"/>
  <c r="AT262" i="8" s="1"/>
  <c r="Q304" i="2"/>
  <c r="Q267" i="2"/>
  <c r="Q318" i="2"/>
  <c r="Q337" i="2"/>
  <c r="Q197" i="2"/>
  <c r="Q299" i="2"/>
  <c r="X299" i="2" s="1"/>
  <c r="AB299" i="2" s="1"/>
  <c r="AT299" i="8" s="1"/>
  <c r="Q203" i="2"/>
  <c r="Q291" i="2"/>
  <c r="Q376" i="2"/>
  <c r="Q294" i="2"/>
  <c r="Q241" i="2"/>
  <c r="Q379" i="2"/>
  <c r="Q233" i="2"/>
  <c r="Q351" i="2"/>
  <c r="Q342" i="2"/>
  <c r="Q321" i="2"/>
  <c r="X321" i="2" s="1"/>
  <c r="AB321" i="2" s="1"/>
  <c r="AT321" i="8" s="1"/>
  <c r="Q296" i="2"/>
  <c r="X296" i="2" s="1"/>
  <c r="AB296" i="2" s="1"/>
  <c r="AT296" i="8" s="1"/>
  <c r="Q226" i="2"/>
  <c r="X226" i="2" s="1"/>
  <c r="AB226" i="2" s="1"/>
  <c r="AT226" i="8" s="1"/>
  <c r="Q246" i="2"/>
  <c r="Q217" i="2"/>
  <c r="Q355" i="2"/>
  <c r="Q372" i="2"/>
  <c r="Q227" i="2"/>
  <c r="Q264" i="2"/>
  <c r="X264" i="2" s="1"/>
  <c r="AB264" i="2" s="1"/>
  <c r="AT264" i="8" s="1"/>
  <c r="Q365" i="2"/>
  <c r="Q258" i="2"/>
  <c r="Q307" i="2"/>
  <c r="X307" i="2" s="1"/>
  <c r="AB307" i="2" s="1"/>
  <c r="AT307" i="8" s="1"/>
  <c r="Q348" i="2"/>
  <c r="Q288" i="2"/>
  <c r="X288" i="2" s="1"/>
  <c r="AB288" i="2" s="1"/>
  <c r="AT288" i="8" s="1"/>
  <c r="Q341" i="2"/>
  <c r="Q383" i="2"/>
  <c r="Q378" i="2"/>
  <c r="Q324" i="2"/>
  <c r="Q287" i="2"/>
  <c r="Q297" i="2"/>
  <c r="X297" i="2" s="1"/>
  <c r="AB297" i="2" s="1"/>
  <c r="AT297" i="8" s="1"/>
  <c r="Q250" i="2"/>
  <c r="Q245" i="2"/>
  <c r="Q335" i="2"/>
  <c r="Q354" i="2"/>
  <c r="Q300" i="2"/>
  <c r="Q360" i="2"/>
  <c r="X360" i="2" s="1"/>
  <c r="AB360" i="2" s="1"/>
  <c r="AT360" i="8" s="1"/>
  <c r="Q221" i="2"/>
  <c r="Q215" i="2"/>
  <c r="Q330" i="2"/>
  <c r="Q276" i="2"/>
  <c r="Q364" i="2"/>
  <c r="Q382" i="2"/>
  <c r="Q282" i="2"/>
  <c r="X282" i="2" s="1"/>
  <c r="AB282" i="2" s="1"/>
  <c r="AT282" i="8" s="1"/>
  <c r="Q252" i="2"/>
  <c r="Q266" i="2"/>
  <c r="Q320" i="2"/>
  <c r="X320" i="2" s="1"/>
  <c r="AB320" i="2" s="1"/>
  <c r="AT320" i="8" s="1"/>
  <c r="Q224" i="2"/>
  <c r="X224" i="2" s="1"/>
  <c r="AB224" i="2" s="1"/>
  <c r="AT224" i="8" s="1"/>
  <c r="Q316" i="2"/>
  <c r="Q310" i="2"/>
  <c r="Q210" i="2"/>
  <c r="Q228" i="2"/>
  <c r="Q222" i="2"/>
  <c r="Q338" i="2"/>
  <c r="Q271" i="2"/>
  <c r="Q347" i="2"/>
  <c r="Q289" i="2"/>
  <c r="Q292" i="2"/>
  <c r="Q286" i="2"/>
  <c r="Q377" i="2"/>
  <c r="Q204" i="2"/>
  <c r="X204" i="2" s="1"/>
  <c r="AB204" i="2" s="1"/>
  <c r="AT204" i="8" s="1"/>
  <c r="Q327" i="2"/>
  <c r="Q317" i="2"/>
  <c r="Q268" i="2"/>
  <c r="Q214" i="2"/>
  <c r="Q353" i="2"/>
  <c r="Q244" i="2"/>
  <c r="Q381" i="2"/>
  <c r="X381" i="2" s="1"/>
  <c r="AB381" i="2" s="1"/>
  <c r="AT381" i="8" s="1"/>
  <c r="Q329" i="2"/>
  <c r="Q251" i="2"/>
  <c r="Q314" i="2"/>
  <c r="Q260" i="2"/>
  <c r="Q380" i="2"/>
  <c r="X380" i="2" s="1"/>
  <c r="AB380" i="2" s="1"/>
  <c r="AT380" i="8" s="1"/>
  <c r="Q220" i="2"/>
  <c r="Q309" i="2"/>
  <c r="X309" i="2" s="1"/>
  <c r="AB309" i="2" s="1"/>
  <c r="AT309" i="8" s="1"/>
  <c r="Q305" i="2"/>
  <c r="Q370" i="2"/>
  <c r="X370" i="2" s="1"/>
  <c r="AB370" i="2" s="1"/>
  <c r="AT370" i="8" s="1"/>
  <c r="Q356" i="2"/>
  <c r="Q363" i="2"/>
  <c r="Q285" i="2"/>
  <c r="Q281" i="2"/>
  <c r="Q322" i="2"/>
  <c r="Q232" i="2"/>
  <c r="Q198" i="2"/>
  <c r="Q269" i="2"/>
  <c r="Q336" i="2"/>
  <c r="X336" i="2" s="1"/>
  <c r="AB336" i="2" s="1"/>
  <c r="AT336" i="8" s="1"/>
  <c r="Q243" i="2"/>
  <c r="Q308" i="2"/>
  <c r="X308" i="2" s="1"/>
  <c r="AB308" i="2" s="1"/>
  <c r="AT308" i="8" s="1"/>
  <c r="Q328" i="2"/>
  <c r="Q202" i="2"/>
  <c r="Q315" i="2"/>
  <c r="Q236" i="2"/>
  <c r="Q113" i="2"/>
  <c r="Q119" i="2"/>
  <c r="Q120" i="2"/>
  <c r="Q96" i="2"/>
  <c r="Q130" i="2"/>
  <c r="X130" i="2" s="1"/>
  <c r="AB130" i="2" s="1"/>
  <c r="AT130" i="8" s="1"/>
  <c r="Q133" i="2"/>
  <c r="Q134" i="2"/>
  <c r="Q135" i="2"/>
  <c r="Q136" i="2"/>
  <c r="Q138" i="2"/>
  <c r="Q192" i="2"/>
  <c r="Q140" i="2"/>
  <c r="Q141" i="2"/>
  <c r="Q143" i="2"/>
  <c r="Q57" i="2"/>
  <c r="Q58" i="2"/>
  <c r="Q160" i="2"/>
  <c r="Q63" i="2"/>
  <c r="Q183" i="2"/>
  <c r="Q71" i="2"/>
  <c r="Q89" i="2"/>
  <c r="Q93" i="2"/>
  <c r="Q94" i="2"/>
  <c r="Q126" i="2"/>
  <c r="Q52" i="2"/>
  <c r="Q128" i="2"/>
  <c r="Q180" i="2"/>
  <c r="Q98" i="2"/>
  <c r="Q179" i="2"/>
  <c r="Q60" i="2"/>
  <c r="X60" i="2" s="1"/>
  <c r="AB60" i="2" s="1"/>
  <c r="AT60" i="8" s="1"/>
  <c r="Q161" i="2"/>
  <c r="X161" i="2" s="1"/>
  <c r="AB161" i="2" s="1"/>
  <c r="AT161" i="8" s="1"/>
  <c r="Q156" i="2"/>
  <c r="Q164" i="2"/>
  <c r="X164" i="2" s="1"/>
  <c r="Q74" i="2"/>
  <c r="Q148" i="2"/>
  <c r="Q116" i="2"/>
  <c r="Q108" i="2"/>
  <c r="Q79" i="2"/>
  <c r="Q100" i="2"/>
  <c r="Q178" i="2"/>
  <c r="Q76" i="2"/>
  <c r="X76" i="2" s="1"/>
  <c r="AB76" i="2" s="1"/>
  <c r="AT76" i="8" s="1"/>
  <c r="Q54" i="2"/>
  <c r="Q132" i="2"/>
  <c r="Q49" i="2"/>
  <c r="Q77" i="2"/>
  <c r="X77" i="2" s="1"/>
  <c r="Q163" i="2"/>
  <c r="X163" i="2" s="1"/>
  <c r="Q29" i="2"/>
  <c r="X29" i="2" s="1"/>
  <c r="Q32" i="2"/>
  <c r="X32" i="2" s="1"/>
  <c r="AB32" i="2" s="1"/>
  <c r="AT32" i="8" s="1"/>
  <c r="Q25" i="2"/>
  <c r="X25" i="2" s="1"/>
  <c r="AB25" i="2" s="1"/>
  <c r="AT25" i="8" s="1"/>
  <c r="Q15" i="2"/>
  <c r="X15" i="2" s="1"/>
  <c r="AB15" i="2" s="1"/>
  <c r="AT15" i="8" s="1"/>
  <c r="Q45" i="2"/>
  <c r="Q85" i="2"/>
  <c r="Q147" i="2"/>
  <c r="Q46" i="2"/>
  <c r="Q86" i="2"/>
  <c r="Q191" i="2"/>
  <c r="Q47" i="2"/>
  <c r="X47" i="2" s="1"/>
  <c r="AB47" i="2" s="1"/>
  <c r="AT47" i="8" s="1"/>
  <c r="Q87" i="2"/>
  <c r="Q121" i="2"/>
  <c r="Q186" i="2"/>
  <c r="Q48" i="2"/>
  <c r="Q88" i="2"/>
  <c r="Q122" i="2"/>
  <c r="Q154" i="2"/>
  <c r="Q193" i="2"/>
  <c r="Q73" i="2"/>
  <c r="Q78" i="2"/>
  <c r="Q157" i="2"/>
  <c r="Q90" i="2"/>
  <c r="Q158" i="2"/>
  <c r="Q91" i="2"/>
  <c r="Q125" i="2"/>
  <c r="Q92" i="2"/>
  <c r="Q165" i="2"/>
  <c r="Q43" i="2"/>
  <c r="Q166" i="2"/>
  <c r="Q187" i="2"/>
  <c r="Q61" i="2"/>
  <c r="Q95" i="2"/>
  <c r="Q167" i="2"/>
  <c r="Q115" i="2"/>
  <c r="Q62" i="2"/>
  <c r="Q168" i="2"/>
  <c r="Q146" i="2"/>
  <c r="Q118" i="2"/>
  <c r="Q97" i="2"/>
  <c r="Q169" i="2"/>
  <c r="Q64" i="2"/>
  <c r="Q137" i="2"/>
  <c r="Q170" i="2"/>
  <c r="X170" i="2" s="1"/>
  <c r="Q65" i="2"/>
  <c r="Q99" i="2"/>
  <c r="Q171" i="2"/>
  <c r="X171" i="2" s="1"/>
  <c r="Q66" i="2"/>
  <c r="Q139" i="2"/>
  <c r="Q172" i="2"/>
  <c r="Q44" i="2"/>
  <c r="Q37" i="2"/>
  <c r="Q67" i="2"/>
  <c r="Q109" i="2"/>
  <c r="Q174" i="2"/>
  <c r="Q38" i="2"/>
  <c r="Q68" i="2"/>
  <c r="Q110" i="2"/>
  <c r="Q181" i="2"/>
  <c r="Q39" i="2"/>
  <c r="Q69" i="2"/>
  <c r="Q111" i="2"/>
  <c r="Q142" i="2"/>
  <c r="Q182" i="2"/>
  <c r="Q40" i="2"/>
  <c r="Q70" i="2"/>
  <c r="Q112" i="2"/>
  <c r="Q41" i="2"/>
  <c r="Q144" i="2"/>
  <c r="Q184" i="2"/>
  <c r="Q42" i="2"/>
  <c r="Q72" i="2"/>
  <c r="Q114" i="2"/>
  <c r="Q145" i="2"/>
  <c r="Q185" i="2"/>
  <c r="Q150" i="2"/>
  <c r="Q50" i="2"/>
  <c r="X50" i="2" s="1"/>
  <c r="AB50" i="2" s="1"/>
  <c r="AT50" i="8" s="1"/>
  <c r="Q84" i="2"/>
  <c r="X84" i="2" s="1"/>
  <c r="Q129" i="2"/>
  <c r="Q149" i="2"/>
  <c r="Q151" i="2"/>
  <c r="X151" i="2" s="1"/>
  <c r="AB151" i="2" s="1"/>
  <c r="AT151" i="8" s="1"/>
  <c r="Q131" i="2"/>
  <c r="X131" i="2" s="1"/>
  <c r="AB131" i="2" s="1"/>
  <c r="AT131" i="8" s="1"/>
  <c r="Q53" i="2"/>
  <c r="Q173" i="2"/>
  <c r="Q81" i="2"/>
  <c r="Q124" i="2"/>
  <c r="Q101" i="2"/>
  <c r="Q80" i="2"/>
  <c r="Q153" i="2"/>
  <c r="Q123" i="2"/>
  <c r="Q127" i="2"/>
  <c r="Q190" i="2"/>
  <c r="Q194" i="2"/>
  <c r="Q155" i="2"/>
  <c r="Q104" i="2"/>
  <c r="Q105" i="2"/>
  <c r="Q106" i="2"/>
  <c r="Q82" i="2"/>
  <c r="X82" i="2" s="1"/>
  <c r="AB82" i="2" s="1"/>
  <c r="AT82" i="8" s="1"/>
  <c r="Q56" i="2"/>
  <c r="Q176" i="2"/>
  <c r="Q59" i="2"/>
  <c r="Q152" i="2"/>
  <c r="Q175" i="2"/>
  <c r="Q107" i="2"/>
  <c r="Q102" i="2"/>
  <c r="Q55" i="2"/>
  <c r="Q189" i="2"/>
  <c r="X189" i="2" s="1"/>
  <c r="AB189" i="2" s="1"/>
  <c r="AT189" i="8" s="1"/>
  <c r="Q177" i="2"/>
  <c r="Q117" i="2"/>
  <c r="X117" i="2" s="1"/>
  <c r="AB117" i="2" s="1"/>
  <c r="AT117" i="8" s="1"/>
  <c r="Q75" i="2"/>
  <c r="X75" i="2" s="1"/>
  <c r="AB75" i="2" s="1"/>
  <c r="AT75" i="8" s="1"/>
  <c r="Q51" i="2"/>
  <c r="X51" i="2" s="1"/>
  <c r="AB51" i="2" s="1"/>
  <c r="AT51" i="8" s="1"/>
  <c r="Q103" i="2"/>
  <c r="X103" i="2" s="1"/>
  <c r="AB103" i="2" s="1"/>
  <c r="AT103" i="8" s="1"/>
  <c r="Q17" i="2"/>
  <c r="Q18" i="2"/>
  <c r="X18" i="2" s="1"/>
  <c r="AB18" i="2" s="1"/>
  <c r="AT18" i="8" s="1"/>
  <c r="Q30" i="2"/>
  <c r="X30" i="2" s="1"/>
  <c r="AB30" i="2" s="1"/>
  <c r="AT30" i="8" s="1"/>
  <c r="Q33" i="2"/>
  <c r="X33" i="2" s="1"/>
  <c r="AB33" i="2" s="1"/>
  <c r="AT33" i="8" s="1"/>
  <c r="Q19" i="2"/>
  <c r="X19" i="2" s="1"/>
  <c r="AB19" i="2" s="1"/>
  <c r="AT19" i="8" s="1"/>
  <c r="Q28" i="2"/>
  <c r="X28" i="2" s="1"/>
  <c r="Q24" i="2"/>
  <c r="X24" i="2" s="1"/>
  <c r="AB24" i="2" s="1"/>
  <c r="AT24" i="8" s="1"/>
  <c r="Q35" i="2"/>
  <c r="X35" i="2" s="1"/>
  <c r="AB35" i="2" s="1"/>
  <c r="AT35" i="8" s="1"/>
  <c r="Q20" i="2"/>
  <c r="X20" i="2" s="1"/>
  <c r="AB20" i="2" s="1"/>
  <c r="AT20" i="8" s="1"/>
  <c r="Q34" i="2"/>
  <c r="X34" i="2" s="1"/>
  <c r="AB34" i="2" s="1"/>
  <c r="AT34" i="8" s="1"/>
  <c r="Q27" i="2"/>
  <c r="X27" i="2" s="1"/>
  <c r="AB27" i="2" s="1"/>
  <c r="AT27" i="8" s="1"/>
  <c r="Q23" i="2"/>
  <c r="X23" i="2" s="1"/>
  <c r="Q16" i="2"/>
  <c r="X16" i="2" s="1"/>
  <c r="AB16" i="2" s="1"/>
  <c r="AT16" i="8" s="1"/>
  <c r="Q22" i="2"/>
  <c r="X22" i="2" s="1"/>
  <c r="Q36" i="2"/>
  <c r="X36" i="2" s="1"/>
  <c r="AB36" i="2" s="1"/>
  <c r="AT36" i="8" s="1"/>
  <c r="Q31" i="2"/>
  <c r="X31" i="2" s="1"/>
  <c r="AB31" i="2" s="1"/>
  <c r="AT31" i="8" s="1"/>
  <c r="Q21" i="2"/>
  <c r="X21" i="2" s="1"/>
  <c r="AB21" i="2" s="1"/>
  <c r="AT21" i="8" s="1"/>
  <c r="Q26" i="2"/>
  <c r="X26" i="2"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385" i="8"/>
  <c r="AB23" i="2" l="1"/>
  <c r="AT23" i="8" s="1"/>
  <c r="AB26" i="2"/>
  <c r="AT26" i="8" s="1"/>
  <c r="AB29" i="2"/>
  <c r="AT29" i="8" s="1"/>
  <c r="AB170" i="2"/>
  <c r="AT170" i="8" s="1"/>
  <c r="AB164" i="2"/>
  <c r="AT164" i="8" s="1"/>
  <c r="X273" i="2"/>
  <c r="AB273" i="2" s="1"/>
  <c r="AT273" i="8" s="1"/>
  <c r="AB84" i="2"/>
  <c r="AT84" i="8" s="1"/>
  <c r="X248" i="2"/>
  <c r="AB248" i="2" s="1"/>
  <c r="AT248" i="8" s="1"/>
  <c r="X255" i="2"/>
  <c r="AB255" i="2" s="1"/>
  <c r="AT255" i="8" s="1"/>
  <c r="X279" i="2"/>
  <c r="AB279" i="2" s="1"/>
  <c r="AT279" i="8" s="1"/>
  <c r="AB22" i="2"/>
  <c r="AT22" i="8" s="1"/>
  <c r="X352" i="2"/>
  <c r="AB352" i="2" s="1"/>
  <c r="AT352" i="8" s="1"/>
  <c r="X319" i="2"/>
  <c r="AB319" i="2" s="1"/>
  <c r="AT319" i="8" s="1"/>
  <c r="X313" i="2"/>
  <c r="AB313" i="2" s="1"/>
  <c r="AT313" i="8" s="1"/>
  <c r="AB163" i="2"/>
  <c r="AT163" i="8" s="1"/>
  <c r="X223" i="2"/>
  <c r="AB223" i="2" s="1"/>
  <c r="AT223" i="8" s="1"/>
  <c r="AB171" i="2"/>
  <c r="AT171" i="8" s="1"/>
  <c r="AB77" i="2"/>
  <c r="AT77" i="8" s="1"/>
  <c r="X270" i="2"/>
  <c r="AB270" i="2" s="1"/>
  <c r="AT270" i="8" s="1"/>
  <c r="AB28" i="2"/>
  <c r="AT28" i="8" s="1"/>
  <c r="X277" i="2"/>
  <c r="AB277" i="2" s="1"/>
  <c r="AT277" i="8" s="1"/>
  <c r="X274" i="2"/>
  <c r="AB274" i="2" s="1"/>
  <c r="AT274" i="8" s="1"/>
  <c r="X281" i="2"/>
  <c r="AB281" i="2" s="1"/>
  <c r="AT281" i="8" s="1"/>
  <c r="X289" i="2"/>
  <c r="AB289" i="2" s="1"/>
  <c r="AT289" i="8" s="1"/>
  <c r="X245" i="2"/>
  <c r="AB245" i="2" s="1"/>
  <c r="AT245" i="8" s="1"/>
  <c r="X233" i="2"/>
  <c r="AB233" i="2" s="1"/>
  <c r="AT233" i="8" s="1"/>
  <c r="X384" i="2"/>
  <c r="AB384" i="2" s="1"/>
  <c r="AT384" i="8" s="1"/>
  <c r="X257" i="2"/>
  <c r="AB257" i="2" s="1"/>
  <c r="AT257" i="8" s="1"/>
  <c r="X363" i="2"/>
  <c r="AB363" i="2" s="1"/>
  <c r="AT363" i="8" s="1"/>
  <c r="X271" i="2"/>
  <c r="AB271" i="2" s="1"/>
  <c r="AT271" i="8" s="1"/>
  <c r="X241" i="2"/>
  <c r="AB241" i="2" s="1"/>
  <c r="AT241" i="8" s="1"/>
  <c r="X247" i="2"/>
  <c r="AB247" i="2" s="1"/>
  <c r="AT247" i="8" s="1"/>
  <c r="X249" i="2"/>
  <c r="AB249" i="2" s="1"/>
  <c r="AT249" i="8" s="1"/>
  <c r="X256" i="2"/>
  <c r="AB256" i="2" s="1"/>
  <c r="AT256" i="8" s="1"/>
  <c r="X356" i="2"/>
  <c r="AB356" i="2" s="1"/>
  <c r="AT356" i="8" s="1"/>
  <c r="X338" i="2"/>
  <c r="AB338" i="2" s="1"/>
  <c r="AT338" i="8" s="1"/>
  <c r="X287" i="2"/>
  <c r="AB287" i="2" s="1"/>
  <c r="AT287" i="8" s="1"/>
  <c r="X294" i="2"/>
  <c r="AB294" i="2" s="1"/>
  <c r="AT294" i="8" s="1"/>
  <c r="X280" i="2"/>
  <c r="AB280" i="2" s="1"/>
  <c r="AT280" i="8" s="1"/>
  <c r="X349" i="2"/>
  <c r="AB349" i="2" s="1"/>
  <c r="AT349" i="8" s="1"/>
  <c r="X285" i="2"/>
  <c r="AB285" i="2" s="1"/>
  <c r="AT285" i="8" s="1"/>
  <c r="X222" i="2"/>
  <c r="AB222" i="2" s="1"/>
  <c r="AT222" i="8" s="1"/>
  <c r="X324" i="2"/>
  <c r="AB324" i="2" s="1"/>
  <c r="AT324" i="8" s="1"/>
  <c r="X376" i="2"/>
  <c r="AB376" i="2" s="1"/>
  <c r="AT376" i="8" s="1"/>
  <c r="X284" i="2"/>
  <c r="AB284" i="2" s="1"/>
  <c r="AT284" i="8" s="1"/>
  <c r="X254" i="2"/>
  <c r="AB254" i="2" s="1"/>
  <c r="AT254" i="8" s="1"/>
  <c r="X350" i="2"/>
  <c r="AB350" i="2" s="1"/>
  <c r="AT350" i="8" s="1"/>
  <c r="X305" i="2"/>
  <c r="AB305" i="2" s="1"/>
  <c r="AT305" i="8" s="1"/>
  <c r="X228" i="2"/>
  <c r="AB228" i="2" s="1"/>
  <c r="AT228" i="8" s="1"/>
  <c r="X378" i="2"/>
  <c r="AB378" i="2" s="1"/>
  <c r="AT378" i="8" s="1"/>
  <c r="X291" i="2"/>
  <c r="AB291" i="2" s="1"/>
  <c r="AT291" i="8" s="1"/>
  <c r="X219" i="2"/>
  <c r="AB219" i="2" s="1"/>
  <c r="AT219" i="8" s="1"/>
  <c r="X346" i="2"/>
  <c r="AB346" i="2" s="1"/>
  <c r="AT346" i="8" s="1"/>
  <c r="X379" i="2"/>
  <c r="AB379" i="2" s="1"/>
  <c r="AT379" i="8" s="1"/>
  <c r="X210" i="2"/>
  <c r="AB210" i="2" s="1"/>
  <c r="AT210" i="8" s="1"/>
  <c r="X383" i="2"/>
  <c r="AB383" i="2" s="1"/>
  <c r="AT383" i="8" s="1"/>
  <c r="X203" i="2"/>
  <c r="AB203" i="2" s="1"/>
  <c r="AT203" i="8" s="1"/>
  <c r="X362" i="2"/>
  <c r="AB362" i="2" s="1"/>
  <c r="AT362" i="8" s="1"/>
  <c r="X306" i="2"/>
  <c r="AB306" i="2" s="1"/>
  <c r="AT306" i="8" s="1"/>
  <c r="X253" i="2"/>
  <c r="AB253" i="2" s="1"/>
  <c r="AT253" i="8" s="1"/>
  <c r="X220" i="2"/>
  <c r="AB220" i="2" s="1"/>
  <c r="AT220" i="8" s="1"/>
  <c r="X310" i="2"/>
  <c r="AB310" i="2" s="1"/>
  <c r="AT310" i="8" s="1"/>
  <c r="X341" i="2"/>
  <c r="AB341" i="2" s="1"/>
  <c r="AT341" i="8" s="1"/>
  <c r="X290" i="2"/>
  <c r="AB290" i="2" s="1"/>
  <c r="AT290" i="8" s="1"/>
  <c r="X298" i="2"/>
  <c r="AB298" i="2" s="1"/>
  <c r="AT298" i="8" s="1"/>
  <c r="X334" i="2"/>
  <c r="AB334" i="2" s="1"/>
  <c r="AT334" i="8" s="1"/>
  <c r="X347" i="2"/>
  <c r="AB347" i="2" s="1"/>
  <c r="AT347" i="8" s="1"/>
  <c r="X316" i="2"/>
  <c r="AB316" i="2" s="1"/>
  <c r="AT316" i="8" s="1"/>
  <c r="X197" i="2"/>
  <c r="AB197" i="2" s="1"/>
  <c r="AT197" i="8" s="1"/>
  <c r="X295" i="2"/>
  <c r="AB295" i="2" s="1"/>
  <c r="AT295" i="8" s="1"/>
  <c r="X208" i="2"/>
  <c r="AB208" i="2" s="1"/>
  <c r="AT208" i="8" s="1"/>
  <c r="X239" i="2"/>
  <c r="AB239" i="2" s="1"/>
  <c r="AT239" i="8" s="1"/>
  <c r="X303" i="2"/>
  <c r="AB303" i="2" s="1"/>
  <c r="AT303" i="8" s="1"/>
  <c r="X260" i="2"/>
  <c r="AB260" i="2" s="1"/>
  <c r="AT260" i="8" s="1"/>
  <c r="X348" i="2"/>
  <c r="AB348" i="2" s="1"/>
  <c r="AT348" i="8" s="1"/>
  <c r="X337" i="2"/>
  <c r="AB337" i="2" s="1"/>
  <c r="AT337" i="8" s="1"/>
  <c r="X283" i="2"/>
  <c r="AB283" i="2" s="1"/>
  <c r="AT283" i="8" s="1"/>
  <c r="X333" i="2"/>
  <c r="AB333" i="2" s="1"/>
  <c r="AT333" i="8" s="1"/>
  <c r="X250" i="2"/>
  <c r="AB250" i="2" s="1"/>
  <c r="AT250" i="8" s="1"/>
  <c r="X314" i="2"/>
  <c r="AB314" i="2" s="1"/>
  <c r="AT314" i="8" s="1"/>
  <c r="X318" i="2"/>
  <c r="AB318" i="2" s="1"/>
  <c r="AT318" i="8" s="1"/>
  <c r="X207" i="2"/>
  <c r="AB207" i="2" s="1"/>
  <c r="AT207" i="8" s="1"/>
  <c r="X238" i="2"/>
  <c r="AB238" i="2" s="1"/>
  <c r="AT238" i="8" s="1"/>
  <c r="X251" i="2"/>
  <c r="AB251" i="2" s="1"/>
  <c r="AT251" i="8" s="1"/>
  <c r="X266" i="2"/>
  <c r="AB266" i="2" s="1"/>
  <c r="AT266" i="8" s="1"/>
  <c r="X258" i="2"/>
  <c r="AB258" i="2" s="1"/>
  <c r="AT258" i="8" s="1"/>
  <c r="X267" i="2"/>
  <c r="AB267" i="2" s="1"/>
  <c r="AT267" i="8" s="1"/>
  <c r="X231" i="2"/>
  <c r="AB231" i="2" s="1"/>
  <c r="AT231" i="8" s="1"/>
  <c r="X211" i="2"/>
  <c r="AB211" i="2" s="1"/>
  <c r="AT211" i="8" s="1"/>
  <c r="X332" i="2"/>
  <c r="AB332" i="2" s="1"/>
  <c r="AT332" i="8" s="1"/>
  <c r="X329" i="2"/>
  <c r="AB329" i="2" s="1"/>
  <c r="AT329" i="8" s="1"/>
  <c r="X252" i="2"/>
  <c r="AB252" i="2" s="1"/>
  <c r="AT252" i="8" s="1"/>
  <c r="X365" i="2"/>
  <c r="AB365" i="2" s="1"/>
  <c r="AT365" i="8" s="1"/>
  <c r="X304" i="2"/>
  <c r="AB304" i="2" s="1"/>
  <c r="AT304" i="8" s="1"/>
  <c r="X343" i="2"/>
  <c r="AB343" i="2" s="1"/>
  <c r="AT343" i="8" s="1"/>
  <c r="X278" i="2"/>
  <c r="AB278" i="2" s="1"/>
  <c r="AT278" i="8" s="1"/>
  <c r="X237" i="2"/>
  <c r="AB237" i="2" s="1"/>
  <c r="AT237" i="8" s="1"/>
  <c r="X236" i="2"/>
  <c r="AB236" i="2" s="1"/>
  <c r="AT236" i="8" s="1"/>
  <c r="X344" i="2"/>
  <c r="AB344" i="2" s="1"/>
  <c r="AT344" i="8" s="1"/>
  <c r="X206" i="2"/>
  <c r="AB206" i="2" s="1"/>
  <c r="AT206" i="8" s="1"/>
  <c r="X315" i="2"/>
  <c r="AB315" i="2" s="1"/>
  <c r="AT315" i="8" s="1"/>
  <c r="X244" i="2"/>
  <c r="AB244" i="2" s="1"/>
  <c r="AT244" i="8" s="1"/>
  <c r="X382" i="2"/>
  <c r="AB382" i="2" s="1"/>
  <c r="AT382" i="8" s="1"/>
  <c r="X227" i="2"/>
  <c r="AB227" i="2" s="1"/>
  <c r="AT227" i="8" s="1"/>
  <c r="X275" i="2"/>
  <c r="AB275" i="2" s="1"/>
  <c r="AT275" i="8" s="1"/>
  <c r="X205" i="2"/>
  <c r="AB205" i="2" s="1"/>
  <c r="AT205" i="8" s="1"/>
  <c r="X235" i="2"/>
  <c r="AB235" i="2" s="1"/>
  <c r="AT235" i="8" s="1"/>
  <c r="X202" i="2"/>
  <c r="AB202" i="2" s="1"/>
  <c r="AT202" i="8" s="1"/>
  <c r="X353" i="2"/>
  <c r="AB353" i="2" s="1"/>
  <c r="AT353" i="8" s="1"/>
  <c r="X364" i="2"/>
  <c r="AB364" i="2" s="1"/>
  <c r="AT364" i="8" s="1"/>
  <c r="X372" i="2"/>
  <c r="AB372" i="2" s="1"/>
  <c r="AT372" i="8" s="1"/>
  <c r="X339" i="2"/>
  <c r="AB339" i="2" s="1"/>
  <c r="AT339" i="8" s="1"/>
  <c r="X340" i="2"/>
  <c r="AB340" i="2" s="1"/>
  <c r="AT340" i="8" s="1"/>
  <c r="X196" i="2"/>
  <c r="AB196" i="2" s="1"/>
  <c r="AT196" i="8" s="1"/>
  <c r="X326" i="2"/>
  <c r="AB326" i="2" s="1"/>
  <c r="AT326" i="8" s="1"/>
  <c r="X328" i="2"/>
  <c r="AB328" i="2" s="1"/>
  <c r="AT328" i="8" s="1"/>
  <c r="X214" i="2"/>
  <c r="AB214" i="2" s="1"/>
  <c r="AT214" i="8" s="1"/>
  <c r="X276" i="2"/>
  <c r="AB276" i="2" s="1"/>
  <c r="AT276" i="8" s="1"/>
  <c r="X355" i="2"/>
  <c r="AB355" i="2" s="1"/>
  <c r="AT355" i="8" s="1"/>
  <c r="X361" i="2"/>
  <c r="AB361" i="2" s="1"/>
  <c r="AT361" i="8" s="1"/>
  <c r="X225" i="2"/>
  <c r="AB225" i="2" s="1"/>
  <c r="AT225" i="8" s="1"/>
  <c r="X374" i="2"/>
  <c r="AB374" i="2" s="1"/>
  <c r="AT374" i="8" s="1"/>
  <c r="X325" i="2"/>
  <c r="AB325" i="2" s="1"/>
  <c r="AT325" i="8" s="1"/>
  <c r="X268" i="2"/>
  <c r="AB268" i="2" s="1"/>
  <c r="AT268" i="8" s="1"/>
  <c r="X330" i="2"/>
  <c r="AB330" i="2" s="1"/>
  <c r="AT330" i="8" s="1"/>
  <c r="X217" i="2"/>
  <c r="AB217" i="2" s="1"/>
  <c r="AT217" i="8" s="1"/>
  <c r="X366" i="2"/>
  <c r="AB366" i="2" s="1"/>
  <c r="AT366" i="8" s="1"/>
  <c r="X375" i="2"/>
  <c r="AB375" i="2" s="1"/>
  <c r="AT375" i="8" s="1"/>
  <c r="X265" i="2"/>
  <c r="AB265" i="2" s="1"/>
  <c r="AT265" i="8" s="1"/>
  <c r="X301" i="2"/>
  <c r="AB301" i="2" s="1"/>
  <c r="AT301" i="8" s="1"/>
  <c r="X243" i="2"/>
  <c r="AB243" i="2" s="1"/>
  <c r="AT243" i="8" s="1"/>
  <c r="X317" i="2"/>
  <c r="AB317" i="2" s="1"/>
  <c r="AT317" i="8" s="1"/>
  <c r="X215" i="2"/>
  <c r="AB215" i="2" s="1"/>
  <c r="AT215" i="8" s="1"/>
  <c r="X246" i="2"/>
  <c r="AB246" i="2" s="1"/>
  <c r="AT246" i="8" s="1"/>
  <c r="X195" i="2"/>
  <c r="AB195" i="2" s="1"/>
  <c r="AT195" i="8" s="1"/>
  <c r="X373" i="2"/>
  <c r="AB373" i="2" s="1"/>
  <c r="AT373" i="8" s="1"/>
  <c r="X230" i="2"/>
  <c r="AB230" i="2" s="1"/>
  <c r="AT230" i="8" s="1"/>
  <c r="X242" i="2"/>
  <c r="AB242" i="2" s="1"/>
  <c r="AT242" i="8" s="1"/>
  <c r="X327" i="2"/>
  <c r="AB327" i="2" s="1"/>
  <c r="AT327" i="8" s="1"/>
  <c r="X221" i="2"/>
  <c r="AB221" i="2" s="1"/>
  <c r="AT221" i="8" s="1"/>
  <c r="X367" i="2"/>
  <c r="AB367" i="2" s="1"/>
  <c r="AT367" i="8" s="1"/>
  <c r="X263" i="2"/>
  <c r="AB263" i="2" s="1"/>
  <c r="AT263" i="8" s="1"/>
  <c r="X311" i="2"/>
  <c r="AB311" i="2" s="1"/>
  <c r="AT311" i="8" s="1"/>
  <c r="X269" i="2"/>
  <c r="AB269" i="2" s="1"/>
  <c r="AT269" i="8" s="1"/>
  <c r="X293" i="2"/>
  <c r="AB293" i="2" s="1"/>
  <c r="AT293" i="8" s="1"/>
  <c r="X209" i="2"/>
  <c r="AB209" i="2" s="1"/>
  <c r="AT209" i="8" s="1"/>
  <c r="X359" i="2"/>
  <c r="AB359" i="2" s="1"/>
  <c r="AT359" i="8" s="1"/>
  <c r="X229" i="2"/>
  <c r="AB229" i="2" s="1"/>
  <c r="AT229" i="8" s="1"/>
  <c r="X198" i="2"/>
  <c r="AB198" i="2" s="1"/>
  <c r="AT198" i="8" s="1"/>
  <c r="X377" i="2"/>
  <c r="AB377" i="2" s="1"/>
  <c r="AT377" i="8" s="1"/>
  <c r="X300" i="2"/>
  <c r="AB300" i="2" s="1"/>
  <c r="AT300" i="8" s="1"/>
  <c r="X234" i="2"/>
  <c r="AB234" i="2" s="1"/>
  <c r="AT234" i="8" s="1"/>
  <c r="X259" i="2"/>
  <c r="AB259" i="2" s="1"/>
  <c r="AT259" i="8" s="1"/>
  <c r="X213" i="2"/>
  <c r="AB213" i="2" s="1"/>
  <c r="AT213" i="8" s="1"/>
  <c r="X232" i="2"/>
  <c r="AB232" i="2" s="1"/>
  <c r="AT232" i="8" s="1"/>
  <c r="X286" i="2"/>
  <c r="AB286" i="2" s="1"/>
  <c r="AT286" i="8" s="1"/>
  <c r="X354" i="2"/>
  <c r="AB354" i="2" s="1"/>
  <c r="AT354" i="8" s="1"/>
  <c r="X342" i="2"/>
  <c r="AB342" i="2" s="1"/>
  <c r="AT342" i="8" s="1"/>
  <c r="X218" i="2"/>
  <c r="AB218" i="2" s="1"/>
  <c r="AT218" i="8" s="1"/>
  <c r="X358" i="2"/>
  <c r="AB358" i="2" s="1"/>
  <c r="AT358" i="8" s="1"/>
  <c r="X302" i="2"/>
  <c r="AB302" i="2" s="1"/>
  <c r="AT302" i="8" s="1"/>
  <c r="X322" i="2"/>
  <c r="AB322" i="2" s="1"/>
  <c r="AT322" i="8" s="1"/>
  <c r="X292" i="2"/>
  <c r="AB292" i="2" s="1"/>
  <c r="AT292" i="8" s="1"/>
  <c r="X335" i="2"/>
  <c r="AB335" i="2" s="1"/>
  <c r="AT335" i="8" s="1"/>
  <c r="X351" i="2"/>
  <c r="AB351" i="2" s="1"/>
  <c r="AT351" i="8" s="1"/>
  <c r="X199" i="2"/>
  <c r="AB199" i="2" s="1"/>
  <c r="AT199" i="8" s="1"/>
  <c r="X357" i="2"/>
  <c r="AB357" i="2" s="1"/>
  <c r="AT357" i="8" s="1"/>
  <c r="X212" i="2"/>
  <c r="AB212" i="2" s="1"/>
  <c r="AT212" i="8" s="1"/>
  <c r="X93" i="2"/>
  <c r="AB93" i="2" s="1"/>
  <c r="AT93" i="8" s="1"/>
  <c r="X89" i="2"/>
  <c r="AB89" i="2" s="1"/>
  <c r="AT89" i="8" s="1"/>
  <c r="X71" i="2"/>
  <c r="AB71" i="2" s="1"/>
  <c r="AT71" i="8" s="1"/>
  <c r="X132" i="2"/>
  <c r="AB132" i="2" s="1"/>
  <c r="AT132" i="8" s="1"/>
  <c r="X183" i="2"/>
  <c r="AB183" i="2" s="1"/>
  <c r="AT183" i="8" s="1"/>
  <c r="X54" i="2"/>
  <c r="AB54" i="2" s="1"/>
  <c r="AT54" i="8" s="1"/>
  <c r="X63" i="2"/>
  <c r="AB63" i="2" s="1"/>
  <c r="AT63" i="8" s="1"/>
  <c r="X160" i="2"/>
  <c r="AB160" i="2" s="1"/>
  <c r="AT160" i="8" s="1"/>
  <c r="X178" i="2"/>
  <c r="AB178" i="2" s="1"/>
  <c r="AT178" i="8" s="1"/>
  <c r="X58" i="2"/>
  <c r="AB58" i="2" s="1"/>
  <c r="AT58" i="8" s="1"/>
  <c r="X100" i="2"/>
  <c r="AB100" i="2" s="1"/>
  <c r="AT100" i="8" s="1"/>
  <c r="X57" i="2"/>
  <c r="AB57" i="2" s="1"/>
  <c r="AT57" i="8" s="1"/>
  <c r="X79" i="2"/>
  <c r="AB79" i="2" s="1"/>
  <c r="AT79" i="8" s="1"/>
  <c r="X143" i="2"/>
  <c r="AB143" i="2" s="1"/>
  <c r="AT143" i="8" s="1"/>
  <c r="X108" i="2"/>
  <c r="AB108" i="2" s="1"/>
  <c r="AT108" i="8" s="1"/>
  <c r="X141" i="2"/>
  <c r="AB141" i="2" s="1"/>
  <c r="AT141" i="8" s="1"/>
  <c r="X116" i="2"/>
  <c r="AB116" i="2" s="1"/>
  <c r="AT116" i="8" s="1"/>
  <c r="X140" i="2"/>
  <c r="AB140" i="2" s="1"/>
  <c r="AT140" i="8" s="1"/>
  <c r="X148" i="2"/>
  <c r="AB148" i="2" s="1"/>
  <c r="AT148" i="8" s="1"/>
  <c r="X192" i="2"/>
  <c r="AB192" i="2" s="1"/>
  <c r="AT192" i="8" s="1"/>
  <c r="X94" i="2"/>
  <c r="AB94" i="2" s="1"/>
  <c r="AT94" i="8" s="1"/>
  <c r="X74" i="2"/>
  <c r="AB74" i="2" s="1"/>
  <c r="AT74" i="8" s="1"/>
  <c r="X138" i="2"/>
  <c r="AB138" i="2" s="1"/>
  <c r="AT138" i="8" s="1"/>
  <c r="X136" i="2"/>
  <c r="AB136" i="2" s="1"/>
  <c r="AT136" i="8" s="1"/>
  <c r="X156" i="2"/>
  <c r="AB156" i="2" s="1"/>
  <c r="AT156" i="8" s="1"/>
  <c r="X135" i="2"/>
  <c r="AB135" i="2" s="1"/>
  <c r="AT135" i="8" s="1"/>
  <c r="X134" i="2"/>
  <c r="AB134" i="2" s="1"/>
  <c r="AT134" i="8" s="1"/>
  <c r="X133" i="2"/>
  <c r="AB133" i="2" s="1"/>
  <c r="AT133" i="8" s="1"/>
  <c r="X179" i="2"/>
  <c r="AB179" i="2" s="1"/>
  <c r="AT179" i="8" s="1"/>
  <c r="X98" i="2"/>
  <c r="AB98" i="2" s="1"/>
  <c r="AT98" i="8" s="1"/>
  <c r="X96" i="2"/>
  <c r="AB96" i="2" s="1"/>
  <c r="AT96" i="8" s="1"/>
  <c r="X180" i="2"/>
  <c r="AB180" i="2" s="1"/>
  <c r="AT180" i="8" s="1"/>
  <c r="X120" i="2"/>
  <c r="AB120" i="2" s="1"/>
  <c r="AT120" i="8" s="1"/>
  <c r="X126" i="2"/>
  <c r="AB126" i="2" s="1"/>
  <c r="AT126" i="8" s="1"/>
  <c r="X49" i="2"/>
  <c r="AB49" i="2" s="1"/>
  <c r="AT49" i="8" s="1"/>
  <c r="X128" i="2"/>
  <c r="AB128" i="2" s="1"/>
  <c r="AT128" i="8" s="1"/>
  <c r="X119" i="2"/>
  <c r="AB119" i="2" s="1"/>
  <c r="AT119" i="8" s="1"/>
  <c r="X52" i="2"/>
  <c r="AB52" i="2" s="1"/>
  <c r="AT52" i="8" s="1"/>
  <c r="X113" i="2"/>
  <c r="AB113" i="2" s="1"/>
  <c r="AT113" i="8" s="1"/>
  <c r="X92" i="2"/>
  <c r="AB92" i="2" s="1"/>
  <c r="AT92" i="8" s="1"/>
  <c r="X125" i="2"/>
  <c r="AB125" i="2" s="1"/>
  <c r="AT125" i="8" s="1"/>
  <c r="X139" i="2"/>
  <c r="AB139" i="2" s="1"/>
  <c r="AT139" i="8" s="1"/>
  <c r="X37" i="2"/>
  <c r="AB37" i="2" s="1"/>
  <c r="AT37" i="8" s="1"/>
  <c r="X158" i="2"/>
  <c r="AB158" i="2" s="1"/>
  <c r="AT158" i="8" s="1"/>
  <c r="X90" i="2"/>
  <c r="AB90" i="2" s="1"/>
  <c r="AT90" i="8" s="1"/>
  <c r="X184" i="2"/>
  <c r="AB184" i="2" s="1"/>
  <c r="AT184" i="8" s="1"/>
  <c r="X99" i="2"/>
  <c r="AB99" i="2" s="1"/>
  <c r="AT99" i="8" s="1"/>
  <c r="X157" i="2"/>
  <c r="AB157" i="2" s="1"/>
  <c r="AT157" i="8" s="1"/>
  <c r="X194" i="2"/>
  <c r="AB194" i="2" s="1"/>
  <c r="AT194" i="8" s="1"/>
  <c r="X65" i="2"/>
  <c r="AB65" i="2" s="1"/>
  <c r="AT65" i="8" s="1"/>
  <c r="X78" i="2"/>
  <c r="AB78" i="2" s="1"/>
  <c r="AT78" i="8" s="1"/>
  <c r="X114" i="2"/>
  <c r="AB114" i="2" s="1"/>
  <c r="AT114" i="8" s="1"/>
  <c r="X73" i="2"/>
  <c r="AB73" i="2" s="1"/>
  <c r="AT73" i="8" s="1"/>
  <c r="X150" i="2"/>
  <c r="AB150" i="2" s="1"/>
  <c r="AT150" i="8" s="1"/>
  <c r="X105" i="2"/>
  <c r="AB105" i="2" s="1"/>
  <c r="AT105" i="8" s="1"/>
  <c r="X127" i="2"/>
  <c r="AB127" i="2" s="1"/>
  <c r="AT127" i="8" s="1"/>
  <c r="X112" i="2"/>
  <c r="AB112" i="2" s="1"/>
  <c r="AT112" i="8" s="1"/>
  <c r="X137" i="2"/>
  <c r="AB137" i="2" s="1"/>
  <c r="AT137" i="8" s="1"/>
  <c r="X193" i="2"/>
  <c r="AB193" i="2" s="1"/>
  <c r="AT193" i="8" s="1"/>
  <c r="X44" i="2"/>
  <c r="AB44" i="2" s="1"/>
  <c r="AT44" i="8" s="1"/>
  <c r="X72" i="2"/>
  <c r="AB72" i="2" s="1"/>
  <c r="AT72" i="8" s="1"/>
  <c r="X123" i="2"/>
  <c r="AB123" i="2" s="1"/>
  <c r="AT123" i="8" s="1"/>
  <c r="X70" i="2"/>
  <c r="AB70" i="2" s="1"/>
  <c r="AT70" i="8" s="1"/>
  <c r="X64" i="2"/>
  <c r="AB64" i="2" s="1"/>
  <c r="AT64" i="8" s="1"/>
  <c r="X154" i="2"/>
  <c r="AB154" i="2" s="1"/>
  <c r="AT154" i="8" s="1"/>
  <c r="X190" i="2"/>
  <c r="AB190" i="2" s="1"/>
  <c r="AT190" i="8" s="1"/>
  <c r="X17" i="2"/>
  <c r="AB17" i="2" s="1"/>
  <c r="AT17" i="8" s="1"/>
  <c r="X153" i="2"/>
  <c r="AB153" i="2" s="1"/>
  <c r="AT153" i="8" s="1"/>
  <c r="X40" i="2"/>
  <c r="AB40" i="2" s="1"/>
  <c r="AT40" i="8" s="1"/>
  <c r="X169" i="2"/>
  <c r="AB169" i="2" s="1"/>
  <c r="AT169" i="8" s="1"/>
  <c r="X122" i="2"/>
  <c r="AB122" i="2" s="1"/>
  <c r="AT122" i="8" s="1"/>
  <c r="X66" i="2"/>
  <c r="AB66" i="2" s="1"/>
  <c r="AT66" i="8" s="1"/>
  <c r="X80" i="2"/>
  <c r="AB80" i="2" s="1"/>
  <c r="AT80" i="8" s="1"/>
  <c r="X182" i="2"/>
  <c r="AB182" i="2" s="1"/>
  <c r="AT182" i="8" s="1"/>
  <c r="X97" i="2"/>
  <c r="AB97" i="2" s="1"/>
  <c r="AT97" i="8" s="1"/>
  <c r="X88" i="2"/>
  <c r="AB88" i="2" s="1"/>
  <c r="AT88" i="8" s="1"/>
  <c r="X42" i="2"/>
  <c r="AB42" i="2" s="1"/>
  <c r="AT42" i="8" s="1"/>
  <c r="X101" i="2"/>
  <c r="AB101" i="2" s="1"/>
  <c r="AT101" i="8" s="1"/>
  <c r="X142" i="2"/>
  <c r="AB142" i="2" s="1"/>
  <c r="AT142" i="8" s="1"/>
  <c r="X118" i="2"/>
  <c r="AB118" i="2" s="1"/>
  <c r="AT118" i="8" s="1"/>
  <c r="X48" i="2"/>
  <c r="AB48" i="2" s="1"/>
  <c r="AT48" i="8" s="1"/>
  <c r="X176" i="2"/>
  <c r="AB176" i="2" s="1"/>
  <c r="AT176" i="8" s="1"/>
  <c r="X186" i="2"/>
  <c r="AB186" i="2" s="1"/>
  <c r="AT186" i="8" s="1"/>
  <c r="X121" i="2"/>
  <c r="AB121" i="2" s="1"/>
  <c r="AT121" i="8" s="1"/>
  <c r="X177" i="2"/>
  <c r="AB177" i="2" s="1"/>
  <c r="AT177" i="8" s="1"/>
  <c r="X173" i="2"/>
  <c r="AB173" i="2" s="1"/>
  <c r="AT173" i="8" s="1"/>
  <c r="X39" i="2"/>
  <c r="AB39" i="2" s="1"/>
  <c r="AT39" i="8" s="1"/>
  <c r="X62" i="2"/>
  <c r="AB62" i="2" s="1"/>
  <c r="AT62" i="8" s="1"/>
  <c r="X87" i="2"/>
  <c r="AB87" i="2" s="1"/>
  <c r="AT87" i="8" s="1"/>
  <c r="X91" i="2"/>
  <c r="AB91" i="2" s="1"/>
  <c r="AT91" i="8" s="1"/>
  <c r="X144" i="2"/>
  <c r="AB144" i="2" s="1"/>
  <c r="AT144" i="8" s="1"/>
  <c r="X81" i="2"/>
  <c r="AB81" i="2" s="1"/>
  <c r="AT81" i="8" s="1"/>
  <c r="X53" i="2"/>
  <c r="AB53" i="2" s="1"/>
  <c r="AT53" i="8" s="1"/>
  <c r="X181" i="2"/>
  <c r="AB181" i="2" s="1"/>
  <c r="AT181" i="8" s="1"/>
  <c r="X115" i="2"/>
  <c r="AB115" i="2" s="1"/>
  <c r="AT115" i="8" s="1"/>
  <c r="X56" i="2"/>
  <c r="AB56" i="2" s="1"/>
  <c r="AT56" i="8" s="1"/>
  <c r="X106" i="2"/>
  <c r="AB106" i="2" s="1"/>
  <c r="AT106" i="8" s="1"/>
  <c r="X155" i="2"/>
  <c r="AB155" i="2" s="1"/>
  <c r="AT155" i="8" s="1"/>
  <c r="X146" i="2"/>
  <c r="AB146" i="2" s="1"/>
  <c r="AT146" i="8" s="1"/>
  <c r="X55" i="2"/>
  <c r="AB55" i="2" s="1"/>
  <c r="AT55" i="8" s="1"/>
  <c r="X110" i="2"/>
  <c r="AB110" i="2" s="1"/>
  <c r="AT110" i="8" s="1"/>
  <c r="X167" i="2"/>
  <c r="AB167" i="2" s="1"/>
  <c r="AT167" i="8" s="1"/>
  <c r="X191" i="2"/>
  <c r="AB191" i="2" s="1"/>
  <c r="AT191" i="8" s="1"/>
  <c r="X172" i="2"/>
  <c r="AB172" i="2" s="1"/>
  <c r="AT172" i="8" s="1"/>
  <c r="X104" i="2"/>
  <c r="AB104" i="2" s="1"/>
  <c r="AT104" i="8" s="1"/>
  <c r="X111" i="2"/>
  <c r="AB111" i="2" s="1"/>
  <c r="AT111" i="8" s="1"/>
  <c r="X102" i="2"/>
  <c r="AB102" i="2" s="1"/>
  <c r="AT102" i="8" s="1"/>
  <c r="X68" i="2"/>
  <c r="AB68" i="2" s="1"/>
  <c r="AT68" i="8" s="1"/>
  <c r="X95" i="2"/>
  <c r="AB95" i="2" s="1"/>
  <c r="AT95" i="8" s="1"/>
  <c r="X86" i="2"/>
  <c r="AB86" i="2" s="1"/>
  <c r="AT86" i="8" s="1"/>
  <c r="X41" i="2"/>
  <c r="AB41" i="2" s="1"/>
  <c r="AT41" i="8" s="1"/>
  <c r="X69" i="2"/>
  <c r="AB69" i="2" s="1"/>
  <c r="AT69" i="8" s="1"/>
  <c r="X107" i="2"/>
  <c r="AB107" i="2" s="1"/>
  <c r="AT107" i="8" s="1"/>
  <c r="X149" i="2"/>
  <c r="AB149" i="2" s="1"/>
  <c r="AT149" i="8" s="1"/>
  <c r="X38" i="2"/>
  <c r="AB38" i="2" s="1"/>
  <c r="AT38" i="8" s="1"/>
  <c r="X61" i="2"/>
  <c r="AB61" i="2" s="1"/>
  <c r="AT61" i="8" s="1"/>
  <c r="X46" i="2"/>
  <c r="AB46" i="2" s="1"/>
  <c r="AT46" i="8" s="1"/>
  <c r="X185" i="2"/>
  <c r="AB185" i="2" s="1"/>
  <c r="AT185" i="8" s="1"/>
  <c r="X168" i="2"/>
  <c r="AB168" i="2" s="1"/>
  <c r="AT168" i="8" s="1"/>
  <c r="X175" i="2"/>
  <c r="AB175" i="2" s="1"/>
  <c r="AT175" i="8" s="1"/>
  <c r="X129" i="2"/>
  <c r="AB129" i="2" s="1"/>
  <c r="AT129" i="8" s="1"/>
  <c r="X174" i="2"/>
  <c r="AB174" i="2" s="1"/>
  <c r="AT174" i="8" s="1"/>
  <c r="X187" i="2"/>
  <c r="AB187" i="2" s="1"/>
  <c r="AT187" i="8" s="1"/>
  <c r="X147" i="2"/>
  <c r="AB147" i="2" s="1"/>
  <c r="AT147" i="8" s="1"/>
  <c r="X165" i="2"/>
  <c r="AB165" i="2" s="1"/>
  <c r="AT165" i="8" s="1"/>
  <c r="X124" i="2"/>
  <c r="AB124" i="2" s="1"/>
  <c r="AT124" i="8" s="1"/>
  <c r="X109" i="2"/>
  <c r="AB109" i="2" s="1"/>
  <c r="AT109" i="8" s="1"/>
  <c r="X166" i="2"/>
  <c r="AB166" i="2" s="1"/>
  <c r="AT166" i="8" s="1"/>
  <c r="X85" i="2"/>
  <c r="AB85" i="2" s="1"/>
  <c r="AT85" i="8" s="1"/>
  <c r="X145" i="2"/>
  <c r="AB145" i="2" s="1"/>
  <c r="AT145" i="8" s="1"/>
  <c r="X152" i="2"/>
  <c r="AB152" i="2" s="1"/>
  <c r="AT152" i="8" s="1"/>
  <c r="X59" i="2"/>
  <c r="AB59" i="2" s="1"/>
  <c r="AT59" i="8" s="1"/>
  <c r="X67" i="2"/>
  <c r="AB67" i="2" s="1"/>
  <c r="AT67" i="8" s="1"/>
  <c r="X43" i="2"/>
  <c r="AB43" i="2" s="1"/>
  <c r="AT43" i="8" s="1"/>
  <c r="X45" i="2"/>
  <c r="AB45" i="2" s="1"/>
  <c r="AT45" i="8" s="1"/>
  <c r="X12" i="2"/>
  <c r="AB12" i="2" s="1"/>
  <c r="X14" i="2"/>
  <c r="AB14" i="2" s="1"/>
  <c r="X7" i="2"/>
  <c r="AB7" i="2" s="1"/>
  <c r="AT7" i="8" s="1"/>
  <c r="X13" i="2"/>
  <c r="AB13" i="2" s="1"/>
  <c r="X11" i="2"/>
  <c r="AB11" i="2" s="1"/>
  <c r="AT11" i="8" s="1"/>
  <c r="X9" i="2"/>
  <c r="AB9" i="2" s="1"/>
  <c r="AT9" i="8" s="1"/>
  <c r="X6" i="2"/>
  <c r="AB6" i="2" s="1"/>
  <c r="AT6" i="8" s="1"/>
  <c r="X10" i="2"/>
  <c r="AB10" i="2" s="1"/>
  <c r="AT10" i="8" s="1"/>
  <c r="X5" i="2"/>
  <c r="AB5" i="2" s="1"/>
  <c r="AT5" i="8" s="1"/>
  <c r="V385" i="2"/>
  <c r="U8" i="2"/>
  <c r="U385" i="2" s="1"/>
  <c r="P385" i="2"/>
  <c r="Q8" i="2"/>
  <c r="T8" i="2"/>
  <c r="AA8" i="2" s="1"/>
  <c r="W8" i="2"/>
  <c r="W385" i="2" s="1"/>
  <c r="R8" i="2"/>
  <c r="Y8" i="2" s="1"/>
  <c r="S8" i="2"/>
  <c r="Z8" i="2" s="1"/>
  <c r="X8" i="2" l="1"/>
  <c r="AB8" i="2" s="1"/>
  <c r="AT8" i="8" s="1"/>
  <c r="Y385" i="2"/>
  <c r="T385" i="2"/>
  <c r="AA385" i="2"/>
  <c r="S385" i="2"/>
  <c r="Z385" i="2"/>
  <c r="Q385" i="2"/>
  <c r="B10" i="3"/>
  <c r="B23" i="3" s="1"/>
  <c r="X385" i="2" l="1"/>
  <c r="BG12" i="8"/>
  <c r="BG14" i="8"/>
  <c r="BG8" i="8"/>
  <c r="BG10" i="8"/>
  <c r="BG6" i="8" l="1"/>
  <c r="BG385" i="8" s="1"/>
  <c r="AT14" i="8"/>
  <c r="AT13" i="8"/>
  <c r="AT12" i="8" l="1"/>
  <c r="AT385" i="8" s="1"/>
  <c r="R385" i="2"/>
  <c r="BH381" i="8" l="1"/>
  <c r="BH382" i="8"/>
  <c r="BH383" i="8"/>
  <c r="BH384" i="8"/>
  <c r="BH22" i="8"/>
  <c r="BH46" i="8"/>
  <c r="BH70" i="8"/>
  <c r="BH94" i="8"/>
  <c r="BH118" i="8"/>
  <c r="BH142" i="8"/>
  <c r="BH166" i="8"/>
  <c r="BH190" i="8"/>
  <c r="BH214" i="8"/>
  <c r="BH238" i="8"/>
  <c r="BH262" i="8"/>
  <c r="BH286" i="8"/>
  <c r="BH310" i="8"/>
  <c r="BH334" i="8"/>
  <c r="BH358" i="8"/>
  <c r="BH34" i="8"/>
  <c r="BH59" i="8"/>
  <c r="BH84" i="8"/>
  <c r="BH109" i="8"/>
  <c r="BH134" i="8"/>
  <c r="BH159" i="8"/>
  <c r="BH184" i="8"/>
  <c r="BH209" i="8"/>
  <c r="BH234" i="8"/>
  <c r="BH259" i="8"/>
  <c r="BH284" i="8"/>
  <c r="BH309" i="8"/>
  <c r="BH335" i="8"/>
  <c r="BH360" i="8"/>
  <c r="BH35" i="8"/>
  <c r="BH60" i="8"/>
  <c r="BH85" i="8"/>
  <c r="BH110" i="8"/>
  <c r="BH135" i="8"/>
  <c r="BH160" i="8"/>
  <c r="BH185" i="8"/>
  <c r="BH210" i="8"/>
  <c r="BH235" i="8"/>
  <c r="BH260" i="8"/>
  <c r="BH285" i="8"/>
  <c r="BH311" i="8"/>
  <c r="BH336" i="8"/>
  <c r="BH361" i="8"/>
  <c r="BH21" i="8"/>
  <c r="BH47" i="8"/>
  <c r="BH72" i="8"/>
  <c r="BH23" i="8"/>
  <c r="BH48" i="8"/>
  <c r="BH73" i="8"/>
  <c r="BH98" i="8"/>
  <c r="BH123" i="8"/>
  <c r="BH148" i="8"/>
  <c r="BH173" i="8"/>
  <c r="BH198" i="8"/>
  <c r="BH223" i="8"/>
  <c r="BH248" i="8"/>
  <c r="BH273" i="8"/>
  <c r="BH298" i="8"/>
  <c r="BH323" i="8"/>
  <c r="BH348" i="8"/>
  <c r="BH373" i="8"/>
  <c r="BH43" i="8"/>
  <c r="BH75" i="8"/>
  <c r="BH103" i="8"/>
  <c r="BH131" i="8"/>
  <c r="BH161" i="8"/>
  <c r="BH189" i="8"/>
  <c r="BH218" i="8"/>
  <c r="BH246" i="8"/>
  <c r="BH275" i="8"/>
  <c r="BH303" i="8"/>
  <c r="BH331" i="8"/>
  <c r="BH362" i="8"/>
  <c r="BH15" i="8"/>
  <c r="BH44" i="8"/>
  <c r="BH76" i="8"/>
  <c r="BH104" i="8"/>
  <c r="BH132" i="8"/>
  <c r="BH162" i="8"/>
  <c r="BH191" i="8"/>
  <c r="BH219" i="8"/>
  <c r="BH247" i="8"/>
  <c r="BH276" i="8"/>
  <c r="BH304" i="8"/>
  <c r="BH332" i="8"/>
  <c r="BH363" i="8"/>
  <c r="BH25" i="8"/>
  <c r="BH54" i="8"/>
  <c r="BH83" i="8"/>
  <c r="BH113" i="8"/>
  <c r="BH141" i="8"/>
  <c r="BH170" i="8"/>
  <c r="BH199" i="8"/>
  <c r="BH227" i="8"/>
  <c r="BH255" i="8"/>
  <c r="BH283" i="8"/>
  <c r="BH314" i="8"/>
  <c r="BH342" i="8"/>
  <c r="BH370" i="8"/>
  <c r="BH26" i="8"/>
  <c r="BH55" i="8"/>
  <c r="BH86" i="8"/>
  <c r="BH114" i="8"/>
  <c r="BH143" i="8"/>
  <c r="BH171" i="8"/>
  <c r="BH200" i="8"/>
  <c r="BH228" i="8"/>
  <c r="BH256" i="8"/>
  <c r="BH287" i="8"/>
  <c r="BH315" i="8"/>
  <c r="BH343" i="8"/>
  <c r="BH371" i="8"/>
  <c r="BH27" i="8"/>
  <c r="BH56" i="8"/>
  <c r="BH87" i="8"/>
  <c r="BH115" i="8"/>
  <c r="BH144" i="8"/>
  <c r="BH172" i="8"/>
  <c r="BH201" i="8"/>
  <c r="BH229" i="8"/>
  <c r="BH257" i="8"/>
  <c r="BH288" i="8"/>
  <c r="BH316" i="8"/>
  <c r="BH344" i="8"/>
  <c r="BH372" i="8"/>
  <c r="BH38" i="8"/>
  <c r="BH67" i="8"/>
  <c r="BH97" i="8"/>
  <c r="BH126" i="8"/>
  <c r="BH154" i="8"/>
  <c r="BH182" i="8"/>
  <c r="BH212" i="8"/>
  <c r="BH241" i="8"/>
  <c r="BH269" i="8"/>
  <c r="BH297" i="8"/>
  <c r="BH326" i="8"/>
  <c r="BH354" i="8"/>
  <c r="BH40" i="8"/>
  <c r="BH69" i="8"/>
  <c r="BH100" i="8"/>
  <c r="BH128" i="8"/>
  <c r="BH156" i="8"/>
  <c r="BH186" i="8"/>
  <c r="BH215" i="8"/>
  <c r="BH243" i="8"/>
  <c r="BH271" i="8"/>
  <c r="BH300" i="8"/>
  <c r="BH328" i="8"/>
  <c r="BH356" i="8"/>
  <c r="BH42" i="8"/>
  <c r="BH88" i="8"/>
  <c r="BH125" i="8"/>
  <c r="BH167" i="8"/>
  <c r="BH206" i="8"/>
  <c r="BH249" i="8"/>
  <c r="BH290" i="8"/>
  <c r="BH327" i="8"/>
  <c r="BH368" i="8"/>
  <c r="BH45" i="8"/>
  <c r="BH89" i="8"/>
  <c r="BH127" i="8"/>
  <c r="BH168" i="8"/>
  <c r="BH207" i="8"/>
  <c r="BH250" i="8"/>
  <c r="BH291" i="8"/>
  <c r="BH329" i="8"/>
  <c r="BH369" i="8"/>
  <c r="BH49" i="8"/>
  <c r="BH90" i="8"/>
  <c r="BH129" i="8"/>
  <c r="BH169" i="8"/>
  <c r="BH208" i="8"/>
  <c r="BH251" i="8"/>
  <c r="BH292" i="8"/>
  <c r="BH330" i="8"/>
  <c r="BH374" i="8"/>
  <c r="BH50" i="8"/>
  <c r="BH91" i="8"/>
  <c r="BH130" i="8"/>
  <c r="BH174" i="8"/>
  <c r="BH211" i="8"/>
  <c r="BH252" i="8"/>
  <c r="BH293" i="8"/>
  <c r="BH333" i="8"/>
  <c r="BH375" i="8"/>
  <c r="BH16" i="8"/>
  <c r="BH58" i="8"/>
  <c r="BH99" i="8"/>
  <c r="BH139" i="8"/>
  <c r="BH179" i="8"/>
  <c r="BH221" i="8"/>
  <c r="BH263" i="8"/>
  <c r="BH301" i="8"/>
  <c r="BH341" i="8"/>
  <c r="BH380" i="8"/>
  <c r="BH17" i="8"/>
  <c r="BH61" i="8"/>
  <c r="BH101" i="8"/>
  <c r="BH140" i="8"/>
  <c r="BH180" i="8"/>
  <c r="BH222" i="8"/>
  <c r="BH264" i="8"/>
  <c r="BH302" i="8"/>
  <c r="BH345" i="8"/>
  <c r="BH18" i="8"/>
  <c r="BH62" i="8"/>
  <c r="BH102" i="8"/>
  <c r="BH145" i="8"/>
  <c r="BH181" i="8"/>
  <c r="BH224" i="8"/>
  <c r="BH265" i="8"/>
  <c r="BH305" i="8"/>
  <c r="BH346" i="8"/>
  <c r="BH19" i="8"/>
  <c r="BH63" i="8"/>
  <c r="BH105" i="8"/>
  <c r="BH146" i="8"/>
  <c r="BH183" i="8"/>
  <c r="BH225" i="8"/>
  <c r="BH266" i="8"/>
  <c r="BH306" i="8"/>
  <c r="BH347" i="8"/>
  <c r="BH20" i="8"/>
  <c r="BH64" i="8"/>
  <c r="BH106" i="8"/>
  <c r="BH147" i="8"/>
  <c r="BH187" i="8"/>
  <c r="BH226" i="8"/>
  <c r="BH267" i="8"/>
  <c r="BH307" i="8"/>
  <c r="BH349" i="8"/>
  <c r="BH24" i="8"/>
  <c r="BH65" i="8"/>
  <c r="BH107" i="8"/>
  <c r="BH149" i="8"/>
  <c r="BH188" i="8"/>
  <c r="BH230" i="8"/>
  <c r="BH268" i="8"/>
  <c r="BH308" i="8"/>
  <c r="BH350" i="8"/>
  <c r="BH28" i="8"/>
  <c r="BH66" i="8"/>
  <c r="BH108" i="8"/>
  <c r="BH150" i="8"/>
  <c r="BH192" i="8"/>
  <c r="BH231" i="8"/>
  <c r="BH270" i="8"/>
  <c r="BH312" i="8"/>
  <c r="BH351" i="8"/>
  <c r="BH29" i="8"/>
  <c r="BH68" i="8"/>
  <c r="BH111" i="8"/>
  <c r="BH151" i="8"/>
  <c r="BH193" i="8"/>
  <c r="BH232" i="8"/>
  <c r="BH272" i="8"/>
  <c r="BH313" i="8"/>
  <c r="BH352" i="8"/>
  <c r="BH30" i="8"/>
  <c r="BH71" i="8"/>
  <c r="BH112" i="8"/>
  <c r="BH152" i="8"/>
  <c r="BH194" i="8"/>
  <c r="BH233" i="8"/>
  <c r="BH274" i="8"/>
  <c r="BH317" i="8"/>
  <c r="BH353" i="8"/>
  <c r="BH33" i="8"/>
  <c r="BH78" i="8"/>
  <c r="BH119" i="8"/>
  <c r="BH157" i="8"/>
  <c r="BH197" i="8"/>
  <c r="BH239" i="8"/>
  <c r="BH279" i="8"/>
  <c r="BH320" i="8"/>
  <c r="BH359" i="8"/>
  <c r="BH36" i="8"/>
  <c r="BH79" i="8"/>
  <c r="BH120" i="8"/>
  <c r="BH158" i="8"/>
  <c r="BH202" i="8"/>
  <c r="BH240" i="8"/>
  <c r="BH280" i="8"/>
  <c r="BH321" i="8"/>
  <c r="BH364" i="8"/>
  <c r="BH37" i="8"/>
  <c r="BH80" i="8"/>
  <c r="BH121" i="8"/>
  <c r="BH163" i="8"/>
  <c r="BH203" i="8"/>
  <c r="BH242" i="8"/>
  <c r="BH281" i="8"/>
  <c r="BH322" i="8"/>
  <c r="BH365" i="8"/>
  <c r="BH133" i="8"/>
  <c r="BH253" i="8"/>
  <c r="BH376" i="8"/>
  <c r="BH278" i="8"/>
  <c r="BH282" i="8"/>
  <c r="BH136" i="8"/>
  <c r="BH254" i="8"/>
  <c r="BH377" i="8"/>
  <c r="BH39" i="8"/>
  <c r="BH137" i="8"/>
  <c r="BH258" i="8"/>
  <c r="BH378" i="8"/>
  <c r="BH138" i="8"/>
  <c r="BH261" i="8"/>
  <c r="BH379" i="8"/>
  <c r="BH155" i="8"/>
  <c r="BH289" i="8"/>
  <c r="BH31" i="8"/>
  <c r="BH153" i="8"/>
  <c r="BH277" i="8"/>
  <c r="BH32" i="8"/>
  <c r="BH164" i="8"/>
  <c r="BH41" i="8"/>
  <c r="BH51" i="8"/>
  <c r="BH175" i="8"/>
  <c r="BH294" i="8"/>
  <c r="BH52" i="8"/>
  <c r="BH176" i="8"/>
  <c r="BH295" i="8"/>
  <c r="BH53" i="8"/>
  <c r="BH177" i="8"/>
  <c r="BH296" i="8"/>
  <c r="BH57" i="8"/>
  <c r="BH178" i="8"/>
  <c r="BH299" i="8"/>
  <c r="BH74" i="8"/>
  <c r="BH195" i="8"/>
  <c r="BH318" i="8"/>
  <c r="BH77" i="8"/>
  <c r="BH196" i="8"/>
  <c r="BH319" i="8"/>
  <c r="BH244" i="8"/>
  <c r="BH81" i="8"/>
  <c r="BH204" i="8"/>
  <c r="BH324" i="8"/>
  <c r="BH366" i="8"/>
  <c r="BH82" i="8"/>
  <c r="BH205" i="8"/>
  <c r="BH325" i="8"/>
  <c r="BH122" i="8"/>
  <c r="BH92" i="8"/>
  <c r="BH213" i="8"/>
  <c r="BH337" i="8"/>
  <c r="BH93" i="8"/>
  <c r="BH216" i="8"/>
  <c r="BH338" i="8"/>
  <c r="BH95" i="8"/>
  <c r="BH217" i="8"/>
  <c r="BH339" i="8"/>
  <c r="BH96" i="8"/>
  <c r="BH220" i="8"/>
  <c r="BH340" i="8"/>
  <c r="BH116" i="8"/>
  <c r="BH236" i="8"/>
  <c r="BH355" i="8"/>
  <c r="BH117" i="8"/>
  <c r="BH237" i="8"/>
  <c r="BH357" i="8"/>
  <c r="BH124" i="8"/>
  <c r="BH245" i="8"/>
  <c r="BH367" i="8"/>
  <c r="BH165" i="8"/>
  <c r="AB385" i="2"/>
  <c r="AC123" i="2" l="1"/>
  <c r="AC240" i="2"/>
  <c r="AC296" i="2"/>
  <c r="AC320" i="2"/>
  <c r="AC369" i="2"/>
  <c r="AC368" i="2"/>
  <c r="AC307" i="2"/>
  <c r="AC272" i="2"/>
  <c r="AC201" i="2"/>
  <c r="AC216" i="2"/>
  <c r="AC371" i="2"/>
  <c r="AC297" i="2"/>
  <c r="AC312" i="2"/>
  <c r="AC226" i="2"/>
  <c r="AC204" i="2"/>
  <c r="AC308" i="2"/>
  <c r="AC370" i="2"/>
  <c r="AC261" i="2"/>
  <c r="AC323" i="2"/>
  <c r="AC282" i="2"/>
  <c r="AC321" i="2"/>
  <c r="AC345" i="2"/>
  <c r="AC309" i="2"/>
  <c r="AC299" i="2"/>
  <c r="AC264" i="2"/>
  <c r="AC360" i="2"/>
  <c r="AC262" i="2"/>
  <c r="AC380" i="2"/>
  <c r="AC331" i="2"/>
  <c r="AC288" i="2"/>
  <c r="AC200" i="2"/>
  <c r="AC336" i="2"/>
  <c r="AC224" i="2"/>
  <c r="AC381" i="2"/>
  <c r="AC209" i="2"/>
  <c r="AC286" i="2"/>
  <c r="AC267" i="2"/>
  <c r="AC265" i="2"/>
  <c r="AC356" i="2"/>
  <c r="AC277" i="2"/>
  <c r="AC311" i="2"/>
  <c r="AC318" i="2"/>
  <c r="AC300" i="2"/>
  <c r="AC279" i="2"/>
  <c r="AC276" i="2"/>
  <c r="AC217" i="2"/>
  <c r="AC367" i="2"/>
  <c r="AC248" i="2"/>
  <c r="AC365" i="2"/>
  <c r="AC280" i="2"/>
  <c r="AC315" i="2"/>
  <c r="AC373" i="2"/>
  <c r="AC316" i="2"/>
  <c r="AC337" i="2"/>
  <c r="AC322" i="2"/>
  <c r="AC222" i="2"/>
  <c r="AC229" i="2"/>
  <c r="AC287" i="2"/>
  <c r="AC275" i="2"/>
  <c r="AC295" i="2"/>
  <c r="AC203" i="2"/>
  <c r="AC350" i="2"/>
  <c r="AC256" i="2"/>
  <c r="AC382" i="2"/>
  <c r="AC348" i="2"/>
  <c r="AC383" i="2"/>
  <c r="AC349" i="2"/>
  <c r="AC260" i="2"/>
  <c r="AC334" i="2"/>
  <c r="AC215" i="2"/>
  <c r="AC325" i="2"/>
  <c r="AC274" i="2"/>
  <c r="AC352" i="2"/>
  <c r="AC341" i="2"/>
  <c r="AC273" i="2"/>
  <c r="AC293" i="2"/>
  <c r="AC338" i="2"/>
  <c r="AC195" i="2"/>
  <c r="AC364" i="2"/>
  <c r="AC333" i="2"/>
  <c r="AC225" i="2"/>
  <c r="AC259" i="2"/>
  <c r="AC242" i="2"/>
  <c r="AC291" i="2"/>
  <c r="AC246" i="2"/>
  <c r="AC372" i="2"/>
  <c r="AC301" i="2"/>
  <c r="AC335" i="2"/>
  <c r="AC235" i="2"/>
  <c r="AC310" i="2"/>
  <c r="AC362" i="2"/>
  <c r="AC221" i="2"/>
  <c r="AC244" i="2"/>
  <c r="AC378" i="2"/>
  <c r="AC363" i="2"/>
  <c r="AC239" i="2"/>
  <c r="AC269" i="2"/>
  <c r="AC289" i="2"/>
  <c r="AC237" i="2"/>
  <c r="AC327" i="2"/>
  <c r="AC344" i="2"/>
  <c r="AC230" i="2"/>
  <c r="AC252" i="2"/>
  <c r="AC305" i="2"/>
  <c r="AC243" i="2"/>
  <c r="AC303" i="2"/>
  <c r="AC326" i="2"/>
  <c r="AC361" i="2"/>
  <c r="AC228" i="2"/>
  <c r="AC343" i="2"/>
  <c r="AC266" i="2"/>
  <c r="AC347" i="2"/>
  <c r="AC292" i="2"/>
  <c r="AC355" i="2"/>
  <c r="AC233" i="2"/>
  <c r="AC219" i="2"/>
  <c r="AC313" i="2"/>
  <c r="AC206" i="2"/>
  <c r="AC357" i="2"/>
  <c r="AC202" i="2"/>
  <c r="AC207" i="2"/>
  <c r="AC196" i="2"/>
  <c r="AC278" i="2"/>
  <c r="AC210" i="2"/>
  <c r="AC317" i="2"/>
  <c r="AC319" i="2"/>
  <c r="AC199" i="2"/>
  <c r="AC332" i="2"/>
  <c r="AC208" i="2"/>
  <c r="AC376" i="2"/>
  <c r="AC241" i="2"/>
  <c r="AC250" i="2"/>
  <c r="AC346" i="2"/>
  <c r="AC211" i="2"/>
  <c r="AC302" i="2"/>
  <c r="AC285" i="2"/>
  <c r="AC258" i="2"/>
  <c r="AC247" i="2"/>
  <c r="AC340" i="2"/>
  <c r="AC374" i="2"/>
  <c r="AC231" i="2"/>
  <c r="AC251" i="2"/>
  <c r="AC212" i="2"/>
  <c r="AC236" i="2"/>
  <c r="AC205" i="2"/>
  <c r="AC377" i="2"/>
  <c r="AC238" i="2"/>
  <c r="AC354" i="2"/>
  <c r="AC314" i="2"/>
  <c r="AC330" i="2"/>
  <c r="AC255" i="2"/>
  <c r="AC263" i="2"/>
  <c r="AC342" i="2"/>
  <c r="AC329" i="2"/>
  <c r="AC281" i="2"/>
  <c r="AC328" i="2"/>
  <c r="AC198" i="2"/>
  <c r="AC218" i="2"/>
  <c r="AC294" i="2"/>
  <c r="AC351" i="2"/>
  <c r="AC227" i="2"/>
  <c r="AC306" i="2"/>
  <c r="AC284" i="2"/>
  <c r="AC213" i="2"/>
  <c r="AC257" i="2"/>
  <c r="AC379" i="2"/>
  <c r="AC358" i="2"/>
  <c r="AC304" i="2"/>
  <c r="AC339" i="2"/>
  <c r="AC324" i="2"/>
  <c r="AC223" i="2"/>
  <c r="AC359" i="2"/>
  <c r="AC197" i="2"/>
  <c r="AC253" i="2"/>
  <c r="AC232" i="2"/>
  <c r="AC234" i="2"/>
  <c r="AC298" i="2"/>
  <c r="AC270" i="2"/>
  <c r="AC271" i="2"/>
  <c r="AC245" i="2"/>
  <c r="AC249" i="2"/>
  <c r="AC254" i="2"/>
  <c r="AC384" i="2"/>
  <c r="AC283" i="2"/>
  <c r="AC268" i="2"/>
  <c r="AC353" i="2"/>
  <c r="AC366" i="2"/>
  <c r="AC220" i="2"/>
  <c r="AC375" i="2"/>
  <c r="AC214" i="2"/>
  <c r="AC290" i="2"/>
  <c r="AC163" i="2"/>
  <c r="AC19" i="2"/>
  <c r="AC31" i="2"/>
  <c r="AC151" i="2"/>
  <c r="AC60" i="2"/>
  <c r="AC26" i="2"/>
  <c r="AC18" i="2"/>
  <c r="AC35" i="2"/>
  <c r="AC82" i="2"/>
  <c r="AC20" i="2"/>
  <c r="AC21" i="2"/>
  <c r="AC77" i="2"/>
  <c r="AC15" i="2"/>
  <c r="AC130" i="2"/>
  <c r="AC16" i="2"/>
  <c r="AC47" i="2"/>
  <c r="AC117" i="2"/>
  <c r="AC29" i="2"/>
  <c r="AC30" i="2"/>
  <c r="AC164" i="2"/>
  <c r="AC131" i="2"/>
  <c r="AC22" i="2"/>
  <c r="AC84" i="2"/>
  <c r="AC75" i="2"/>
  <c r="AC50" i="2"/>
  <c r="AC189" i="2"/>
  <c r="AC36" i="2"/>
  <c r="AC25" i="2"/>
  <c r="AC34" i="2"/>
  <c r="AC32" i="2"/>
  <c r="AC23" i="2"/>
  <c r="AC33" i="2"/>
  <c r="AC76" i="2"/>
  <c r="AC28" i="2"/>
  <c r="AC27" i="2"/>
  <c r="AC170" i="2"/>
  <c r="AC24" i="2"/>
  <c r="AC161" i="2"/>
  <c r="AC51" i="2"/>
  <c r="AC171" i="2"/>
  <c r="AC103" i="2"/>
  <c r="AC186" i="2"/>
  <c r="AC160" i="2"/>
  <c r="AC43" i="2"/>
  <c r="AC90" i="2"/>
  <c r="AC137" i="2"/>
  <c r="AC86" i="2"/>
  <c r="AC149" i="2"/>
  <c r="AC125" i="2"/>
  <c r="AC37" i="2"/>
  <c r="AC49" i="2"/>
  <c r="AC58" i="2"/>
  <c r="AC118" i="2"/>
  <c r="AC52" i="2"/>
  <c r="AC152" i="2"/>
  <c r="AC41" i="2"/>
  <c r="AC124" i="2"/>
  <c r="AC112" i="2"/>
  <c r="AC100" i="2"/>
  <c r="AC128" i="2"/>
  <c r="AC67" i="2"/>
  <c r="AC79" i="2"/>
  <c r="AC59" i="2"/>
  <c r="AC65" i="2"/>
  <c r="AC88" i="2"/>
  <c r="AC56" i="2"/>
  <c r="AC174" i="2"/>
  <c r="AC44" i="2"/>
  <c r="AC121" i="2"/>
  <c r="AC119" i="2"/>
  <c r="AC93" i="2"/>
  <c r="AC73" i="2"/>
  <c r="AC144" i="2"/>
  <c r="AC194" i="2"/>
  <c r="AC114" i="2"/>
  <c r="AC55" i="2"/>
  <c r="AC185" i="2"/>
  <c r="AC141" i="2"/>
  <c r="AC192" i="2"/>
  <c r="AC78" i="2"/>
  <c r="AC106" i="2"/>
  <c r="AC191" i="2"/>
  <c r="AC94" i="2"/>
  <c r="AC57" i="2"/>
  <c r="AC142" i="2"/>
  <c r="AC110" i="2"/>
  <c r="AC107" i="2"/>
  <c r="AC182" i="2"/>
  <c r="AC140" i="2"/>
  <c r="AC62" i="2"/>
  <c r="AC54" i="2"/>
  <c r="AC165" i="2"/>
  <c r="AC175" i="2"/>
  <c r="AC38" i="2"/>
  <c r="AC39" i="2"/>
  <c r="AC40" i="2"/>
  <c r="AC48" i="2"/>
  <c r="AC127" i="2"/>
  <c r="AC148" i="2"/>
  <c r="AC135" i="2"/>
  <c r="AC190" i="2"/>
  <c r="AC74" i="2"/>
  <c r="AC173" i="2"/>
  <c r="AC53" i="2"/>
  <c r="AC177" i="2"/>
  <c r="AC126" i="2"/>
  <c r="AC147" i="2"/>
  <c r="AC187" i="2"/>
  <c r="AC180" i="2"/>
  <c r="AC46" i="2"/>
  <c r="AC111" i="2"/>
  <c r="AC179" i="2"/>
  <c r="AC17" i="2"/>
  <c r="AC64" i="2"/>
  <c r="AC102" i="2"/>
  <c r="AC97" i="2"/>
  <c r="AC98" i="2"/>
  <c r="AC155" i="2"/>
  <c r="AC193" i="2"/>
  <c r="AC184" i="2"/>
  <c r="AC70" i="2"/>
  <c r="AC150" i="2"/>
  <c r="AC104" i="2"/>
  <c r="AC72" i="2"/>
  <c r="AC153" i="2"/>
  <c r="AC87" i="2"/>
  <c r="AC80" i="2"/>
  <c r="AC68" i="2"/>
  <c r="AC96" i="2"/>
  <c r="AC99" i="2"/>
  <c r="AC172" i="2"/>
  <c r="AC81" i="2"/>
  <c r="AC42" i="2"/>
  <c r="AC61" i="2"/>
  <c r="AC156" i="2"/>
  <c r="AC95" i="2"/>
  <c r="AC89" i="2"/>
  <c r="AC143" i="2"/>
  <c r="AC183" i="2"/>
  <c r="AC122" i="2"/>
  <c r="AC91" i="2"/>
  <c r="AC105" i="2"/>
  <c r="AC101" i="2"/>
  <c r="AC176" i="2"/>
  <c r="AC92" i="2"/>
  <c r="AC181" i="2"/>
  <c r="AC109" i="2"/>
  <c r="AC169" i="2"/>
  <c r="AC63" i="2"/>
  <c r="AC158" i="2"/>
  <c r="AC120" i="2"/>
  <c r="AC133" i="2"/>
  <c r="AC132" i="2"/>
  <c r="AC157" i="2"/>
  <c r="AC145" i="2"/>
  <c r="AC167" i="2"/>
  <c r="AC71" i="2"/>
  <c r="AC134" i="2"/>
  <c r="AC154" i="2"/>
  <c r="AC138" i="2"/>
  <c r="AC115" i="2"/>
  <c r="AC136" i="2"/>
  <c r="AC129" i="2"/>
  <c r="AC146" i="2"/>
  <c r="AC168" i="2"/>
  <c r="AC45" i="2"/>
  <c r="AC166" i="2"/>
  <c r="AC113" i="2"/>
  <c r="AC85" i="2"/>
  <c r="AC139" i="2"/>
  <c r="AC178" i="2"/>
  <c r="AC116" i="2"/>
  <c r="AC108" i="2"/>
  <c r="AC69" i="2"/>
  <c r="AC66" i="2"/>
  <c r="B13" i="3"/>
  <c r="B41" i="3" a="1"/>
  <c r="B41" i="3" s="1"/>
  <c r="AC10" i="2"/>
  <c r="AG10" i="2" s="1"/>
  <c r="AC9" i="2"/>
  <c r="AG9" i="2" s="1"/>
  <c r="AC14" i="2"/>
  <c r="AG14" i="2" s="1"/>
  <c r="AC6" i="2"/>
  <c r="AG6" i="2" s="1"/>
  <c r="AC5" i="2"/>
  <c r="AC13" i="2"/>
  <c r="AG13" i="2" s="1"/>
  <c r="AC7" i="2"/>
  <c r="AG7" i="2" s="1"/>
  <c r="AC11" i="2"/>
  <c r="AG11" i="2" s="1"/>
  <c r="AC8" i="2"/>
  <c r="AG8" i="2" s="1"/>
  <c r="AC12" i="2"/>
  <c r="AG12" i="2" s="1"/>
  <c r="AG5" i="2" l="1"/>
  <c r="AD36" i="2"/>
  <c r="AG163" i="2"/>
  <c r="AG202" i="2"/>
  <c r="AG239" i="2"/>
  <c r="AG274" i="2"/>
  <c r="AG248" i="2"/>
  <c r="AG299" i="2"/>
  <c r="AG215" i="2"/>
  <c r="AG217" i="2"/>
  <c r="AG345" i="2"/>
  <c r="AG113" i="2"/>
  <c r="AG313" i="2"/>
  <c r="AG276" i="2"/>
  <c r="AG321" i="2"/>
  <c r="AG236" i="2"/>
  <c r="AG260" i="2"/>
  <c r="AG279" i="2"/>
  <c r="AG282" i="2"/>
  <c r="AG304" i="2"/>
  <c r="AG300" i="2"/>
  <c r="AG323" i="2"/>
  <c r="AG325" i="2"/>
  <c r="AG39" i="2"/>
  <c r="AG137" i="2"/>
  <c r="AG121" i="2"/>
  <c r="AG146" i="2"/>
  <c r="AG30" i="2"/>
  <c r="AG353" i="2"/>
  <c r="AG306" i="2"/>
  <c r="AG247" i="2"/>
  <c r="AG355" i="2"/>
  <c r="AG310" i="2"/>
  <c r="AG383" i="2"/>
  <c r="AG318" i="2"/>
  <c r="AG261" i="2"/>
  <c r="AG309" i="2"/>
  <c r="AG244" i="2"/>
  <c r="AG340" i="2"/>
  <c r="AG56" i="2"/>
  <c r="AG268" i="2"/>
  <c r="AG227" i="2"/>
  <c r="AG258" i="2"/>
  <c r="AG292" i="2"/>
  <c r="AG235" i="2"/>
  <c r="AG348" i="2"/>
  <c r="AG311" i="2"/>
  <c r="AG370" i="2"/>
  <c r="AG48" i="2"/>
  <c r="AG75" i="2"/>
  <c r="AG251" i="2"/>
  <c r="AG155" i="2"/>
  <c r="AG220" i="2"/>
  <c r="AG43" i="2"/>
  <c r="AG129" i="2"/>
  <c r="AG351" i="2"/>
  <c r="AG335" i="2"/>
  <c r="AG382" i="2"/>
  <c r="AG277" i="2"/>
  <c r="AG308" i="2"/>
  <c r="AG367" i="2"/>
  <c r="AG101" i="2"/>
  <c r="AG221" i="2"/>
  <c r="AG65" i="2"/>
  <c r="AG302" i="2"/>
  <c r="AG266" i="2"/>
  <c r="AG301" i="2"/>
  <c r="AG256" i="2"/>
  <c r="AG356" i="2"/>
  <c r="AG204" i="2"/>
  <c r="AG212" i="2"/>
  <c r="AG93" i="2"/>
  <c r="AG38" i="2"/>
  <c r="AG131" i="2"/>
  <c r="AG164" i="2"/>
  <c r="AG54" i="2"/>
  <c r="AG64" i="2"/>
  <c r="AG285" i="2"/>
  <c r="AG95" i="2"/>
  <c r="AG111" i="2"/>
  <c r="AG51" i="2"/>
  <c r="AG16" i="2"/>
  <c r="AG254" i="2"/>
  <c r="AG218" i="2"/>
  <c r="AG211" i="2"/>
  <c r="AG343" i="2"/>
  <c r="AG372" i="2"/>
  <c r="AG350" i="2"/>
  <c r="AG265" i="2"/>
  <c r="AG226" i="2"/>
  <c r="AG92" i="2"/>
  <c r="AG73" i="2"/>
  <c r="AG334" i="2"/>
  <c r="AG284" i="2"/>
  <c r="AG183" i="2"/>
  <c r="AG29" i="2"/>
  <c r="AG17" i="2"/>
  <c r="AG384" i="2"/>
  <c r="AG61" i="2"/>
  <c r="AG110" i="2"/>
  <c r="AG79" i="2"/>
  <c r="AG161" i="2"/>
  <c r="AG130" i="2"/>
  <c r="AG249" i="2"/>
  <c r="AG198" i="2"/>
  <c r="AG346" i="2"/>
  <c r="AG228" i="2"/>
  <c r="AG246" i="2"/>
  <c r="AG203" i="2"/>
  <c r="AG267" i="2"/>
  <c r="AG312" i="2"/>
  <c r="AG184" i="2"/>
  <c r="AG214" i="2"/>
  <c r="AG213" i="2"/>
  <c r="AG122" i="2"/>
  <c r="AG347" i="2"/>
  <c r="AG71" i="2"/>
  <c r="AG42" i="2"/>
  <c r="AG180" i="2"/>
  <c r="AG142" i="2"/>
  <c r="AG67" i="2"/>
  <c r="AG24" i="2"/>
  <c r="AG15" i="2"/>
  <c r="AG245" i="2"/>
  <c r="AG328" i="2"/>
  <c r="AG250" i="2"/>
  <c r="AG361" i="2"/>
  <c r="AG291" i="2"/>
  <c r="AG295" i="2"/>
  <c r="AG286" i="2"/>
  <c r="AG297" i="2"/>
  <c r="AG40" i="2"/>
  <c r="AG84" i="2"/>
  <c r="AG45" i="2"/>
  <c r="AG362" i="2"/>
  <c r="AG294" i="2"/>
  <c r="AG167" i="2"/>
  <c r="AG81" i="2"/>
  <c r="AG187" i="2"/>
  <c r="AG57" i="2"/>
  <c r="AG128" i="2"/>
  <c r="AG170" i="2"/>
  <c r="AG77" i="2"/>
  <c r="AG271" i="2"/>
  <c r="AG281" i="2"/>
  <c r="AG241" i="2"/>
  <c r="AG326" i="2"/>
  <c r="AG242" i="2"/>
  <c r="AG275" i="2"/>
  <c r="AG209" i="2"/>
  <c r="AG371" i="2"/>
  <c r="AG379" i="2"/>
  <c r="AG349" i="2"/>
  <c r="AG283" i="2"/>
  <c r="AG182" i="2"/>
  <c r="AG154" i="2"/>
  <c r="AG46" i="2"/>
  <c r="AG145" i="2"/>
  <c r="AG172" i="2"/>
  <c r="AG147" i="2"/>
  <c r="AG94" i="2"/>
  <c r="AG100" i="2"/>
  <c r="AG27" i="2"/>
  <c r="AG21" i="2"/>
  <c r="AG270" i="2"/>
  <c r="AG329" i="2"/>
  <c r="AG376" i="2"/>
  <c r="AG303" i="2"/>
  <c r="AG259" i="2"/>
  <c r="AG287" i="2"/>
  <c r="AG381" i="2"/>
  <c r="AG216" i="2"/>
  <c r="AG358" i="2"/>
  <c r="AG119" i="2"/>
  <c r="AG98" i="2"/>
  <c r="AG99" i="2"/>
  <c r="AG298" i="2"/>
  <c r="AG243" i="2"/>
  <c r="AG229" i="2"/>
  <c r="AG224" i="2"/>
  <c r="AG201" i="2"/>
  <c r="AG125" i="2"/>
  <c r="AG375" i="2"/>
  <c r="AG91" i="2"/>
  <c r="AG124" i="2"/>
  <c r="AG305" i="2"/>
  <c r="AG272" i="2"/>
  <c r="AG50" i="2"/>
  <c r="AG257" i="2"/>
  <c r="AG168" i="2"/>
  <c r="AG252" i="2"/>
  <c r="AG85" i="2"/>
  <c r="AG378" i="2"/>
  <c r="AG233" i="2"/>
  <c r="AG136" i="2"/>
  <c r="AG62" i="2"/>
  <c r="AG89" i="2"/>
  <c r="AG59" i="2"/>
  <c r="AG20" i="2"/>
  <c r="AG199" i="2"/>
  <c r="AG120" i="2"/>
  <c r="AG192" i="2"/>
  <c r="AG152" i="2"/>
  <c r="AG23" i="2"/>
  <c r="AG18" i="2"/>
  <c r="AG253" i="2"/>
  <c r="AG330" i="2"/>
  <c r="AG319" i="2"/>
  <c r="AG230" i="2"/>
  <c r="AG195" i="2"/>
  <c r="AG337" i="2"/>
  <c r="AG288" i="2"/>
  <c r="AG368" i="2"/>
  <c r="AG176" i="2"/>
  <c r="AG363" i="2"/>
  <c r="AG193" i="2"/>
  <c r="AG22" i="2"/>
  <c r="AG90" i="2"/>
  <c r="AG97" i="2"/>
  <c r="AG160" i="2"/>
  <c r="AG117" i="2"/>
  <c r="AG138" i="2"/>
  <c r="AG107" i="2"/>
  <c r="AG157" i="2"/>
  <c r="AG96" i="2"/>
  <c r="AG222" i="2"/>
  <c r="AG68" i="2"/>
  <c r="AG255" i="2"/>
  <c r="AG74" i="2"/>
  <c r="AG32" i="2"/>
  <c r="AG26" i="2"/>
  <c r="AG197" i="2"/>
  <c r="AG314" i="2"/>
  <c r="AG317" i="2"/>
  <c r="AG344" i="2"/>
  <c r="AG338" i="2"/>
  <c r="AG316" i="2"/>
  <c r="AG331" i="2"/>
  <c r="AG369" i="2"/>
  <c r="AG144" i="2"/>
  <c r="AG290" i="2"/>
  <c r="AG86" i="2"/>
  <c r="AG219" i="2"/>
  <c r="AG165" i="2"/>
  <c r="AG174" i="2"/>
  <c r="AG140" i="2"/>
  <c r="AG171" i="2"/>
  <c r="AG156" i="2"/>
  <c r="AG134" i="2"/>
  <c r="AG191" i="2"/>
  <c r="AG225" i="2"/>
  <c r="AG177" i="2"/>
  <c r="AG82" i="2"/>
  <c r="AG333" i="2"/>
  <c r="AG133" i="2"/>
  <c r="AG41" i="2"/>
  <c r="AG35" i="2"/>
  <c r="AG200" i="2"/>
  <c r="AG173" i="2"/>
  <c r="AG185" i="2"/>
  <c r="AG359" i="2"/>
  <c r="AG327" i="2"/>
  <c r="AG293" i="2"/>
  <c r="AG373" i="2"/>
  <c r="AG380" i="2"/>
  <c r="AG320" i="2"/>
  <c r="AG357" i="2"/>
  <c r="AG166" i="2"/>
  <c r="AG231" i="2"/>
  <c r="AG175" i="2"/>
  <c r="AG366" i="2"/>
  <c r="AG102" i="2"/>
  <c r="AG143" i="2"/>
  <c r="AG115" i="2"/>
  <c r="AG103" i="2"/>
  <c r="AG47" i="2"/>
  <c r="AG112" i="2"/>
  <c r="AG208" i="2"/>
  <c r="AG106" i="2"/>
  <c r="AG263" i="2"/>
  <c r="AG78" i="2"/>
  <c r="AG307" i="2"/>
  <c r="AG80" i="2"/>
  <c r="AG69" i="2"/>
  <c r="AG87" i="2"/>
  <c r="AG141" i="2"/>
  <c r="AG108" i="2"/>
  <c r="AG153" i="2"/>
  <c r="AG190" i="2"/>
  <c r="AG34" i="2"/>
  <c r="AG60" i="2"/>
  <c r="AG116" i="2"/>
  <c r="AG72" i="2"/>
  <c r="AG135" i="2"/>
  <c r="AG55" i="2"/>
  <c r="AG58" i="2"/>
  <c r="AG25" i="2"/>
  <c r="AG151" i="2"/>
  <c r="AG223" i="2"/>
  <c r="AG238" i="2"/>
  <c r="AG278" i="2"/>
  <c r="AG237" i="2"/>
  <c r="AG273" i="2"/>
  <c r="AG315" i="2"/>
  <c r="AG262" i="2"/>
  <c r="AG296" i="2"/>
  <c r="AG70" i="2"/>
  <c r="AG149" i="2"/>
  <c r="AG206" i="2"/>
  <c r="AG105" i="2"/>
  <c r="AG374" i="2"/>
  <c r="AG44" i="2"/>
  <c r="AG186" i="2"/>
  <c r="AG88" i="2"/>
  <c r="AG179" i="2"/>
  <c r="AG126" i="2"/>
  <c r="AG28" i="2"/>
  <c r="AG342" i="2"/>
  <c r="AG132" i="2"/>
  <c r="AG234" i="2"/>
  <c r="AG336" i="2"/>
  <c r="AG33" i="2"/>
  <c r="AG232" i="2"/>
  <c r="AG322" i="2"/>
  <c r="AG66" i="2"/>
  <c r="AG158" i="2"/>
  <c r="AG52" i="2"/>
  <c r="AG63" i="2"/>
  <c r="AG118" i="2"/>
  <c r="AG354" i="2"/>
  <c r="AG178" i="2"/>
  <c r="AG104" i="2"/>
  <c r="AG114" i="2"/>
  <c r="AG49" i="2"/>
  <c r="AG36" i="2"/>
  <c r="AG31" i="2"/>
  <c r="AG324" i="2"/>
  <c r="AG377" i="2"/>
  <c r="AG196" i="2"/>
  <c r="AG289" i="2"/>
  <c r="AG341" i="2"/>
  <c r="AG280" i="2"/>
  <c r="AG360" i="2"/>
  <c r="AG240" i="2"/>
  <c r="AG76" i="2"/>
  <c r="AG332" i="2"/>
  <c r="AG53" i="2"/>
  <c r="AG364" i="2"/>
  <c r="AG210" i="2"/>
  <c r="AG169" i="2"/>
  <c r="AG109" i="2"/>
  <c r="AG148" i="2"/>
  <c r="AG139" i="2"/>
  <c r="AG181" i="2"/>
  <c r="AG150" i="2"/>
  <c r="AG127" i="2"/>
  <c r="AG194" i="2"/>
  <c r="AG37" i="2"/>
  <c r="AG189" i="2"/>
  <c r="AG19" i="2"/>
  <c r="AG339" i="2"/>
  <c r="AG205" i="2"/>
  <c r="AG207" i="2"/>
  <c r="AG269" i="2"/>
  <c r="AG352" i="2"/>
  <c r="AG365" i="2"/>
  <c r="AG264" i="2"/>
  <c r="AG123" i="2"/>
  <c r="AD53" i="2"/>
  <c r="AH53" i="2" s="1"/>
  <c r="AD77" i="2"/>
  <c r="AH77" i="2" s="1"/>
  <c r="AF77" i="2" s="1"/>
  <c r="AE77" i="2" s="1" a="1"/>
  <c r="AE77" i="2" s="1"/>
  <c r="AD101" i="2"/>
  <c r="AH101" i="2" s="1"/>
  <c r="AF101" i="2" s="1"/>
  <c r="AE101" i="2" s="1" a="1"/>
  <c r="AE101" i="2" s="1"/>
  <c r="AD125" i="2"/>
  <c r="AH125" i="2" s="1"/>
  <c r="AF125" i="2" s="1"/>
  <c r="AE125" i="2" s="1" a="1"/>
  <c r="AE125" i="2" s="1"/>
  <c r="AD149" i="2"/>
  <c r="AH149" i="2" s="1"/>
  <c r="AF149" i="2" s="1"/>
  <c r="AE149" i="2" s="1" a="1"/>
  <c r="AE149" i="2" s="1"/>
  <c r="AD173" i="2"/>
  <c r="AH173" i="2" s="1"/>
  <c r="AF173" i="2" s="1"/>
  <c r="AE173" i="2" s="1" a="1"/>
  <c r="AE173" i="2" s="1"/>
  <c r="AD209" i="2"/>
  <c r="AH209" i="2" s="1"/>
  <c r="AF209" i="2" s="1"/>
  <c r="AE209" i="2" s="1" a="1"/>
  <c r="AE209" i="2" s="1"/>
  <c r="AD233" i="2"/>
  <c r="AH233" i="2" s="1"/>
  <c r="AF233" i="2" s="1"/>
  <c r="AE233" i="2" s="1" a="1"/>
  <c r="AE233" i="2" s="1"/>
  <c r="AD257" i="2"/>
  <c r="AH257" i="2" s="1"/>
  <c r="AF257" i="2" s="1"/>
  <c r="AE257" i="2" s="1" a="1"/>
  <c r="AE257" i="2" s="1"/>
  <c r="AD281" i="2"/>
  <c r="AH281" i="2" s="1"/>
  <c r="AF281" i="2" s="1"/>
  <c r="AE281" i="2" s="1" a="1"/>
  <c r="AE281" i="2" s="1"/>
  <c r="AD305" i="2"/>
  <c r="AH305" i="2" s="1"/>
  <c r="AF305" i="2" s="1"/>
  <c r="AE305" i="2" s="1" a="1"/>
  <c r="AE305" i="2" s="1"/>
  <c r="AD329" i="2"/>
  <c r="AH329" i="2" s="1"/>
  <c r="AF329" i="2" s="1"/>
  <c r="AE329" i="2" s="1" a="1"/>
  <c r="AE329" i="2" s="1"/>
  <c r="AD353" i="2"/>
  <c r="AH353" i="2" s="1"/>
  <c r="AF353" i="2" s="1"/>
  <c r="AE353" i="2" s="1" a="1"/>
  <c r="AE353" i="2" s="1"/>
  <c r="AD377" i="2"/>
  <c r="AH377" i="2" s="1"/>
  <c r="AD40" i="2"/>
  <c r="AH40" i="2" s="1"/>
  <c r="AF40" i="2" s="1"/>
  <c r="AE40" i="2" s="1" a="1"/>
  <c r="AE40" i="2" s="1"/>
  <c r="AD64" i="2"/>
  <c r="AH64" i="2" s="1"/>
  <c r="AF64" i="2" s="1"/>
  <c r="AE64" i="2" s="1" a="1"/>
  <c r="AE64" i="2" s="1"/>
  <c r="AD88" i="2"/>
  <c r="AH88" i="2" s="1"/>
  <c r="AD112" i="2"/>
  <c r="AH112" i="2" s="1"/>
  <c r="AF112" i="2" s="1"/>
  <c r="AE112" i="2" s="1" a="1"/>
  <c r="AE112" i="2" s="1"/>
  <c r="AD136" i="2"/>
  <c r="AH136" i="2" s="1"/>
  <c r="AF136" i="2" s="1"/>
  <c r="AE136" i="2" s="1" a="1"/>
  <c r="AE136" i="2" s="1"/>
  <c r="AD160" i="2"/>
  <c r="AH160" i="2" s="1"/>
  <c r="AF160" i="2" s="1"/>
  <c r="AE160" i="2" s="1" a="1"/>
  <c r="AE160" i="2" s="1"/>
  <c r="AD184" i="2"/>
  <c r="AH184" i="2" s="1"/>
  <c r="AD196" i="2"/>
  <c r="AH196" i="2" s="1"/>
  <c r="AF196" i="2" s="1"/>
  <c r="AE196" i="2" s="1" a="1"/>
  <c r="AE196" i="2" s="1"/>
  <c r="AD220" i="2"/>
  <c r="AH220" i="2" s="1"/>
  <c r="AF220" i="2" s="1"/>
  <c r="AE220" i="2" s="1" a="1"/>
  <c r="AE220" i="2" s="1"/>
  <c r="AD244" i="2"/>
  <c r="AH244" i="2" s="1"/>
  <c r="AF244" i="2" s="1"/>
  <c r="AE244" i="2" s="1" a="1"/>
  <c r="AE244" i="2" s="1"/>
  <c r="AD268" i="2"/>
  <c r="AH268" i="2" s="1"/>
  <c r="AF268" i="2" s="1"/>
  <c r="AE268" i="2" s="1" a="1"/>
  <c r="AE268" i="2" s="1"/>
  <c r="AD292" i="2"/>
  <c r="AH292" i="2" s="1"/>
  <c r="AF292" i="2" s="1"/>
  <c r="AE292" i="2" s="1" a="1"/>
  <c r="AE292" i="2" s="1"/>
  <c r="AD316" i="2"/>
  <c r="AH316" i="2" s="1"/>
  <c r="AF316" i="2" s="1"/>
  <c r="AE316" i="2" s="1" a="1"/>
  <c r="AE316" i="2" s="1"/>
  <c r="AD340" i="2"/>
  <c r="AH340" i="2" s="1"/>
  <c r="AF340" i="2" s="1"/>
  <c r="AE340" i="2" s="1" a="1"/>
  <c r="AE340" i="2" s="1"/>
  <c r="AD364" i="2"/>
  <c r="AH364" i="2" s="1"/>
  <c r="AD52" i="2"/>
  <c r="AH52" i="2" s="1"/>
  <c r="AF52" i="2" s="1"/>
  <c r="AE52" i="2" s="1" a="1"/>
  <c r="AE52" i="2" s="1"/>
  <c r="AD79" i="2"/>
  <c r="AH79" i="2" s="1"/>
  <c r="AF79" i="2" s="1"/>
  <c r="AE79" i="2" s="1" a="1"/>
  <c r="AE79" i="2" s="1"/>
  <c r="AD105" i="2"/>
  <c r="AH105" i="2" s="1"/>
  <c r="AF105" i="2" s="1"/>
  <c r="AE105" i="2" s="1" a="1"/>
  <c r="AE105" i="2" s="1"/>
  <c r="AD131" i="2"/>
  <c r="AH131" i="2" s="1"/>
  <c r="AF131" i="2" s="1"/>
  <c r="AE131" i="2" s="1" a="1"/>
  <c r="AE131" i="2" s="1"/>
  <c r="AD157" i="2"/>
  <c r="AH157" i="2" s="1"/>
  <c r="AD183" i="2"/>
  <c r="AH183" i="2" s="1"/>
  <c r="AF183" i="2" s="1"/>
  <c r="AE183" i="2" s="1" a="1"/>
  <c r="AE183" i="2" s="1"/>
  <c r="AD204" i="2"/>
  <c r="AH204" i="2" s="1"/>
  <c r="AF204" i="2" s="1"/>
  <c r="AE204" i="2" s="1" a="1"/>
  <c r="AE204" i="2" s="1"/>
  <c r="AD230" i="2"/>
  <c r="AH230" i="2" s="1"/>
  <c r="AD256" i="2"/>
  <c r="AH256" i="2" s="1"/>
  <c r="AF256" i="2" s="1"/>
  <c r="AE256" i="2" s="1" a="1"/>
  <c r="AE256" i="2" s="1"/>
  <c r="AD283" i="2"/>
  <c r="AH283" i="2" s="1"/>
  <c r="AF283" i="2" s="1"/>
  <c r="AE283" i="2" s="1" a="1"/>
  <c r="AE283" i="2" s="1"/>
  <c r="AD309" i="2"/>
  <c r="AH309" i="2" s="1"/>
  <c r="AF309" i="2" s="1"/>
  <c r="AE309" i="2" s="1" a="1"/>
  <c r="AE309" i="2" s="1"/>
  <c r="AD335" i="2"/>
  <c r="AH335" i="2" s="1"/>
  <c r="AF335" i="2" s="1"/>
  <c r="AE335" i="2" s="1" a="1"/>
  <c r="AE335" i="2" s="1"/>
  <c r="AD361" i="2"/>
  <c r="AH361" i="2" s="1"/>
  <c r="AF361" i="2" s="1"/>
  <c r="AE361" i="2" s="1" a="1"/>
  <c r="AE361" i="2" s="1"/>
  <c r="AD54" i="2"/>
  <c r="AH54" i="2" s="1"/>
  <c r="AF54" i="2" s="1"/>
  <c r="AE54" i="2" s="1" a="1"/>
  <c r="AE54" i="2" s="1"/>
  <c r="AD80" i="2"/>
  <c r="AH80" i="2" s="1"/>
  <c r="AF80" i="2" s="1"/>
  <c r="AE80" i="2" s="1" a="1"/>
  <c r="AE80" i="2" s="1"/>
  <c r="AD106" i="2"/>
  <c r="AH106" i="2" s="1"/>
  <c r="AF106" i="2" s="1"/>
  <c r="AE106" i="2" s="1" a="1"/>
  <c r="AE106" i="2" s="1"/>
  <c r="AD132" i="2"/>
  <c r="AH132" i="2" s="1"/>
  <c r="AF132" i="2" s="1"/>
  <c r="AE132" i="2" s="1" a="1"/>
  <c r="AE132" i="2" s="1"/>
  <c r="AD158" i="2"/>
  <c r="AH158" i="2" s="1"/>
  <c r="AF158" i="2" s="1"/>
  <c r="AE158" i="2" s="1" a="1"/>
  <c r="AE158" i="2" s="1"/>
  <c r="AD185" i="2"/>
  <c r="AH185" i="2" s="1"/>
  <c r="AF185" i="2" s="1"/>
  <c r="AE185" i="2" s="1" a="1"/>
  <c r="AE185" i="2" s="1"/>
  <c r="AD58" i="2"/>
  <c r="AH58" i="2" s="1"/>
  <c r="AF58" i="2" s="1"/>
  <c r="AE58" i="2" s="1" a="1"/>
  <c r="AE58" i="2" s="1"/>
  <c r="AD62" i="2"/>
  <c r="AH62" i="2" s="1"/>
  <c r="AF62" i="2" s="1"/>
  <c r="AE62" i="2" s="1" a="1"/>
  <c r="AE62" i="2" s="1"/>
  <c r="AD89" i="2"/>
  <c r="AH89" i="2" s="1"/>
  <c r="AF89" i="2" s="1"/>
  <c r="AE89" i="2" s="1" a="1"/>
  <c r="AE89" i="2" s="1"/>
  <c r="AD115" i="2"/>
  <c r="AH115" i="2" s="1"/>
  <c r="AF115" i="2" s="1"/>
  <c r="AE115" i="2" s="1" a="1"/>
  <c r="AE115" i="2" s="1"/>
  <c r="AD141" i="2"/>
  <c r="AH141" i="2" s="1"/>
  <c r="AF141" i="2" s="1"/>
  <c r="AE141" i="2" s="1" a="1"/>
  <c r="AE141" i="2" s="1"/>
  <c r="AD167" i="2"/>
  <c r="AH167" i="2" s="1"/>
  <c r="AF167" i="2" s="1"/>
  <c r="AE167" i="2" s="1" a="1"/>
  <c r="AE167" i="2" s="1"/>
  <c r="AD193" i="2"/>
  <c r="AH193" i="2" s="1"/>
  <c r="AF193" i="2" s="1"/>
  <c r="AE193" i="2" s="1" a="1"/>
  <c r="AE193" i="2" s="1"/>
  <c r="AD214" i="2"/>
  <c r="AH214" i="2" s="1"/>
  <c r="AF214" i="2" s="1"/>
  <c r="AE214" i="2" s="1" a="1"/>
  <c r="AE214" i="2" s="1"/>
  <c r="AD240" i="2"/>
  <c r="AH240" i="2" s="1"/>
  <c r="AF240" i="2" s="1"/>
  <c r="AE240" i="2" s="1" a="1"/>
  <c r="AE240" i="2" s="1"/>
  <c r="AD266" i="2"/>
  <c r="AH266" i="2" s="1"/>
  <c r="AF266" i="2" s="1"/>
  <c r="AE266" i="2" s="1" a="1"/>
  <c r="AE266" i="2" s="1"/>
  <c r="AD293" i="2"/>
  <c r="AH293" i="2" s="1"/>
  <c r="AF293" i="2" s="1"/>
  <c r="AE293" i="2" s="1" a="1"/>
  <c r="AE293" i="2" s="1"/>
  <c r="AD319" i="2"/>
  <c r="AH319" i="2" s="1"/>
  <c r="AD345" i="2"/>
  <c r="AH345" i="2" s="1"/>
  <c r="AF345" i="2" s="1"/>
  <c r="AE345" i="2" s="1" a="1"/>
  <c r="AE345" i="2" s="1"/>
  <c r="AD371" i="2"/>
  <c r="AH371" i="2" s="1"/>
  <c r="AD37" i="2"/>
  <c r="AH37" i="2" s="1"/>
  <c r="AF37" i="2" s="1"/>
  <c r="AE37" i="2" s="1" a="1"/>
  <c r="AE37" i="2" s="1"/>
  <c r="AD63" i="2"/>
  <c r="AH63" i="2" s="1"/>
  <c r="AF63" i="2" s="1"/>
  <c r="AE63" i="2" s="1" a="1"/>
  <c r="AE63" i="2" s="1"/>
  <c r="AD90" i="2"/>
  <c r="AH90" i="2" s="1"/>
  <c r="AF90" i="2" s="1"/>
  <c r="AE90" i="2" s="1" a="1"/>
  <c r="AE90" i="2" s="1"/>
  <c r="AD116" i="2"/>
  <c r="AH116" i="2" s="1"/>
  <c r="AF116" i="2" s="1"/>
  <c r="AE116" i="2" s="1" a="1"/>
  <c r="AE116" i="2" s="1"/>
  <c r="AD142" i="2"/>
  <c r="AH142" i="2" s="1"/>
  <c r="AF142" i="2" s="1"/>
  <c r="AE142" i="2" s="1" a="1"/>
  <c r="AE142" i="2" s="1"/>
  <c r="AD168" i="2"/>
  <c r="AH168" i="2" s="1"/>
  <c r="AF168" i="2" s="1"/>
  <c r="AE168" i="2" s="1" a="1"/>
  <c r="AE168" i="2" s="1"/>
  <c r="AD194" i="2"/>
  <c r="AH194" i="2" s="1"/>
  <c r="AF194" i="2" s="1"/>
  <c r="AE194" i="2" s="1" a="1"/>
  <c r="AE194" i="2" s="1"/>
  <c r="AD215" i="2"/>
  <c r="AH215" i="2" s="1"/>
  <c r="AF215" i="2" s="1"/>
  <c r="AE215" i="2" s="1" a="1"/>
  <c r="AE215" i="2" s="1"/>
  <c r="AD241" i="2"/>
  <c r="AH241" i="2" s="1"/>
  <c r="AF241" i="2" s="1"/>
  <c r="AE241" i="2" s="1" a="1"/>
  <c r="AE241" i="2" s="1"/>
  <c r="AD267" i="2"/>
  <c r="AH267" i="2" s="1"/>
  <c r="AF267" i="2" s="1"/>
  <c r="AE267" i="2" s="1" a="1"/>
  <c r="AE267" i="2" s="1"/>
  <c r="AD294" i="2"/>
  <c r="AH294" i="2" s="1"/>
  <c r="AF294" i="2" s="1"/>
  <c r="AE294" i="2" s="1" a="1"/>
  <c r="AE294" i="2" s="1"/>
  <c r="AD320" i="2"/>
  <c r="AH320" i="2" s="1"/>
  <c r="AD346" i="2"/>
  <c r="AH346" i="2" s="1"/>
  <c r="AF346" i="2" s="1"/>
  <c r="AE346" i="2" s="1" a="1"/>
  <c r="AE346" i="2" s="1"/>
  <c r="AD372" i="2"/>
  <c r="AH372" i="2" s="1"/>
  <c r="AF372" i="2" s="1"/>
  <c r="AE372" i="2" s="1" a="1"/>
  <c r="AE372" i="2" s="1"/>
  <c r="AD38" i="2"/>
  <c r="AH38" i="2" s="1"/>
  <c r="AF38" i="2" s="1"/>
  <c r="AE38" i="2" s="1" a="1"/>
  <c r="AE38" i="2" s="1"/>
  <c r="AD65" i="2"/>
  <c r="AH65" i="2" s="1"/>
  <c r="AD91" i="2"/>
  <c r="AH91" i="2" s="1"/>
  <c r="AF91" i="2" s="1"/>
  <c r="AE91" i="2" s="1" a="1"/>
  <c r="AE91" i="2" s="1"/>
  <c r="AD117" i="2"/>
  <c r="AH117" i="2" s="1"/>
  <c r="AF117" i="2" s="1"/>
  <c r="AE117" i="2" s="1" a="1"/>
  <c r="AE117" i="2" s="1"/>
  <c r="AD143" i="2"/>
  <c r="AH143" i="2" s="1"/>
  <c r="AF143" i="2" s="1"/>
  <c r="AE143" i="2" s="1" a="1"/>
  <c r="AE143" i="2" s="1"/>
  <c r="AD169" i="2"/>
  <c r="AH169" i="2" s="1"/>
  <c r="AF169" i="2" s="1"/>
  <c r="AE169" i="2" s="1" a="1"/>
  <c r="AE169" i="2" s="1"/>
  <c r="AD216" i="2"/>
  <c r="AH216" i="2" s="1"/>
  <c r="AF216" i="2" s="1"/>
  <c r="AE216" i="2" s="1" a="1"/>
  <c r="AE216" i="2" s="1"/>
  <c r="AD242" i="2"/>
  <c r="AH242" i="2" s="1"/>
  <c r="AF242" i="2" s="1"/>
  <c r="AE242" i="2" s="1" a="1"/>
  <c r="AE242" i="2" s="1"/>
  <c r="AD269" i="2"/>
  <c r="AH269" i="2" s="1"/>
  <c r="AD295" i="2"/>
  <c r="AH295" i="2" s="1"/>
  <c r="AF295" i="2" s="1"/>
  <c r="AE295" i="2" s="1" a="1"/>
  <c r="AE295" i="2" s="1"/>
  <c r="AD321" i="2"/>
  <c r="AH321" i="2" s="1"/>
  <c r="AF321" i="2" s="1"/>
  <c r="AE321" i="2" s="1" a="1"/>
  <c r="AE321" i="2" s="1"/>
  <c r="AD347" i="2"/>
  <c r="AH347" i="2" s="1"/>
  <c r="AF347" i="2" s="1"/>
  <c r="AE347" i="2" s="1" a="1"/>
  <c r="AE347" i="2" s="1"/>
  <c r="AD373" i="2"/>
  <c r="AH373" i="2" s="1"/>
  <c r="AF373" i="2" s="1"/>
  <c r="AE373" i="2" s="1" a="1"/>
  <c r="AE373" i="2" s="1"/>
  <c r="AD39" i="2"/>
  <c r="AH39" i="2" s="1"/>
  <c r="AF39" i="2" s="1"/>
  <c r="AE39" i="2" s="1" a="1"/>
  <c r="AE39" i="2" s="1"/>
  <c r="AD66" i="2"/>
  <c r="AH66" i="2" s="1"/>
  <c r="AF66" i="2" s="1"/>
  <c r="AE66" i="2" s="1" a="1"/>
  <c r="AE66" i="2" s="1"/>
  <c r="AD92" i="2"/>
  <c r="AH92" i="2" s="1"/>
  <c r="AF92" i="2" s="1"/>
  <c r="AE92" i="2" s="1" a="1"/>
  <c r="AE92" i="2" s="1"/>
  <c r="AD118" i="2"/>
  <c r="AH118" i="2" s="1"/>
  <c r="AF118" i="2" s="1"/>
  <c r="AE118" i="2" s="1" a="1"/>
  <c r="AE118" i="2" s="1"/>
  <c r="AD144" i="2"/>
  <c r="AH144" i="2" s="1"/>
  <c r="AD170" i="2"/>
  <c r="AH170" i="2" s="1"/>
  <c r="AF170" i="2" s="1"/>
  <c r="AE170" i="2" s="1" a="1"/>
  <c r="AE170" i="2" s="1"/>
  <c r="AD42" i="2"/>
  <c r="AH42" i="2" s="1"/>
  <c r="AF42" i="2" s="1"/>
  <c r="AE42" i="2" s="1" a="1"/>
  <c r="AE42" i="2" s="1"/>
  <c r="AD68" i="2"/>
  <c r="AH68" i="2" s="1"/>
  <c r="AF68" i="2" s="1"/>
  <c r="AE68" i="2" s="1" a="1"/>
  <c r="AE68" i="2" s="1"/>
  <c r="AD94" i="2"/>
  <c r="AH94" i="2" s="1"/>
  <c r="AF94" i="2" s="1"/>
  <c r="AE94" i="2" s="1" a="1"/>
  <c r="AE94" i="2" s="1"/>
  <c r="AD120" i="2"/>
  <c r="AH120" i="2" s="1"/>
  <c r="AF120" i="2" s="1"/>
  <c r="AE120" i="2" s="1" a="1"/>
  <c r="AE120" i="2" s="1"/>
  <c r="AD146" i="2"/>
  <c r="AH146" i="2" s="1"/>
  <c r="AF146" i="2" s="1"/>
  <c r="AE146" i="2" s="1" a="1"/>
  <c r="AE146" i="2" s="1"/>
  <c r="AD172" i="2"/>
  <c r="AH172" i="2" s="1"/>
  <c r="AF172" i="2" s="1"/>
  <c r="AE172" i="2" s="1" a="1"/>
  <c r="AE172" i="2" s="1"/>
  <c r="AD43" i="2"/>
  <c r="AH43" i="2" s="1"/>
  <c r="AF43" i="2" s="1"/>
  <c r="AE43" i="2" s="1" a="1"/>
  <c r="AE43" i="2" s="1"/>
  <c r="AD44" i="2"/>
  <c r="AH44" i="2" s="1"/>
  <c r="AF44" i="2" s="1"/>
  <c r="AE44" i="2" s="1" a="1"/>
  <c r="AE44" i="2" s="1"/>
  <c r="AD45" i="2"/>
  <c r="AH45" i="2" s="1"/>
  <c r="AF45" i="2" s="1"/>
  <c r="AE45" i="2" s="1" a="1"/>
  <c r="AE45" i="2" s="1"/>
  <c r="AD49" i="2"/>
  <c r="AH49" i="2" s="1"/>
  <c r="AF49" i="2" s="1"/>
  <c r="AE49" i="2" s="1" a="1"/>
  <c r="AE49" i="2" s="1"/>
  <c r="AD86" i="2"/>
  <c r="AH86" i="2" s="1"/>
  <c r="AF86" i="2" s="1"/>
  <c r="AE86" i="2" s="1" a="1"/>
  <c r="AE86" i="2" s="1"/>
  <c r="AD126" i="2"/>
  <c r="AH126" i="2" s="1"/>
  <c r="AF126" i="2" s="1"/>
  <c r="AE126" i="2" s="1" a="1"/>
  <c r="AE126" i="2" s="1"/>
  <c r="AD162" i="2"/>
  <c r="AH162" i="2" s="1"/>
  <c r="AF162" i="2" s="1"/>
  <c r="AD217" i="2"/>
  <c r="AH217" i="2" s="1"/>
  <c r="AF217" i="2" s="1"/>
  <c r="AE217" i="2" s="1" a="1"/>
  <c r="AE217" i="2" s="1"/>
  <c r="AD248" i="2"/>
  <c r="AH248" i="2" s="1"/>
  <c r="AF248" i="2" s="1"/>
  <c r="AE248" i="2" s="1" a="1"/>
  <c r="AE248" i="2" s="1"/>
  <c r="AD278" i="2"/>
  <c r="AH278" i="2" s="1"/>
  <c r="AF278" i="2" s="1"/>
  <c r="AE278" i="2" s="1" a="1"/>
  <c r="AE278" i="2" s="1"/>
  <c r="AD310" i="2"/>
  <c r="AH310" i="2" s="1"/>
  <c r="AF310" i="2" s="1"/>
  <c r="AE310" i="2" s="1" a="1"/>
  <c r="AE310" i="2" s="1"/>
  <c r="AD341" i="2"/>
  <c r="AH341" i="2" s="1"/>
  <c r="AF341" i="2" s="1"/>
  <c r="AE341" i="2" s="1" a="1"/>
  <c r="AE341" i="2" s="1"/>
  <c r="AD374" i="2"/>
  <c r="AH374" i="2" s="1"/>
  <c r="AF374" i="2" s="1"/>
  <c r="AE374" i="2" s="1" a="1"/>
  <c r="AE374" i="2" s="1"/>
  <c r="AD50" i="2"/>
  <c r="AH50" i="2" s="1"/>
  <c r="AF50" i="2" s="1"/>
  <c r="AE50" i="2" s="1" a="1"/>
  <c r="AE50" i="2" s="1"/>
  <c r="AD87" i="2"/>
  <c r="AH87" i="2" s="1"/>
  <c r="AF87" i="2" s="1"/>
  <c r="AE87" i="2" s="1" a="1"/>
  <c r="AE87" i="2" s="1"/>
  <c r="AD127" i="2"/>
  <c r="AH127" i="2" s="1"/>
  <c r="AF127" i="2" s="1"/>
  <c r="AE127" i="2" s="1" a="1"/>
  <c r="AE127" i="2" s="1"/>
  <c r="AD163" i="2"/>
  <c r="AH163" i="2" s="1"/>
  <c r="AF163" i="2" s="1"/>
  <c r="AE163" i="2" s="1" a="1"/>
  <c r="AE163" i="2" s="1"/>
  <c r="AD218" i="2"/>
  <c r="AH218" i="2" s="1"/>
  <c r="AF218" i="2" s="1"/>
  <c r="AE218" i="2" s="1" a="1"/>
  <c r="AE218" i="2" s="1"/>
  <c r="AD249" i="2"/>
  <c r="AH249" i="2" s="1"/>
  <c r="AF249" i="2" s="1"/>
  <c r="AE249" i="2" s="1" a="1"/>
  <c r="AE249" i="2" s="1"/>
  <c r="AD279" i="2"/>
  <c r="AH279" i="2" s="1"/>
  <c r="AF279" i="2" s="1"/>
  <c r="AE279" i="2" s="1" a="1"/>
  <c r="AE279" i="2" s="1"/>
  <c r="AD311" i="2"/>
  <c r="AH311" i="2" s="1"/>
  <c r="AF311" i="2" s="1"/>
  <c r="AE311" i="2" s="1" a="1"/>
  <c r="AE311" i="2" s="1"/>
  <c r="AD342" i="2"/>
  <c r="AH342" i="2" s="1"/>
  <c r="AF342" i="2" s="1"/>
  <c r="AE342" i="2" s="1" a="1"/>
  <c r="AE342" i="2" s="1"/>
  <c r="AD375" i="2"/>
  <c r="AH375" i="2" s="1"/>
  <c r="AF375" i="2" s="1"/>
  <c r="AE375" i="2" s="1" a="1"/>
  <c r="AE375" i="2" s="1"/>
  <c r="AD51" i="2"/>
  <c r="AH51" i="2" s="1"/>
  <c r="AF51" i="2" s="1"/>
  <c r="AE51" i="2" s="1" a="1"/>
  <c r="AE51" i="2" s="1"/>
  <c r="AD93" i="2"/>
  <c r="AH93" i="2" s="1"/>
  <c r="AF93" i="2" s="1"/>
  <c r="AE93" i="2" s="1" a="1"/>
  <c r="AE93" i="2" s="1"/>
  <c r="AD128" i="2"/>
  <c r="AH128" i="2" s="1"/>
  <c r="AF128" i="2" s="1"/>
  <c r="AE128" i="2" s="1" a="1"/>
  <c r="AE128" i="2" s="1"/>
  <c r="AD164" i="2"/>
  <c r="AH164" i="2" s="1"/>
  <c r="AF164" i="2" s="1"/>
  <c r="AE164" i="2" s="1" a="1"/>
  <c r="AE164" i="2" s="1"/>
  <c r="AD219" i="2"/>
  <c r="AH219" i="2" s="1"/>
  <c r="AF219" i="2" s="1"/>
  <c r="AE219" i="2" s="1" a="1"/>
  <c r="AE219" i="2" s="1"/>
  <c r="AD250" i="2"/>
  <c r="AH250" i="2" s="1"/>
  <c r="AF250" i="2" s="1"/>
  <c r="AE250" i="2" s="1" a="1"/>
  <c r="AE250" i="2" s="1"/>
  <c r="AD280" i="2"/>
  <c r="AH280" i="2" s="1"/>
  <c r="AF280" i="2" s="1"/>
  <c r="AE280" i="2" s="1" a="1"/>
  <c r="AE280" i="2" s="1"/>
  <c r="AD312" i="2"/>
  <c r="AH312" i="2" s="1"/>
  <c r="AF312" i="2" s="1"/>
  <c r="AE312" i="2" s="1" a="1"/>
  <c r="AE312" i="2" s="1"/>
  <c r="AD343" i="2"/>
  <c r="AH343" i="2" s="1"/>
  <c r="AD376" i="2"/>
  <c r="AH376" i="2" s="1"/>
  <c r="AD55" i="2"/>
  <c r="AH55" i="2" s="1"/>
  <c r="AF55" i="2" s="1"/>
  <c r="AE55" i="2" s="1" a="1"/>
  <c r="AE55" i="2" s="1"/>
  <c r="AD95" i="2"/>
  <c r="AH95" i="2" s="1"/>
  <c r="AF95" i="2" s="1"/>
  <c r="AE95" i="2" s="1" a="1"/>
  <c r="AE95" i="2" s="1"/>
  <c r="AD129" i="2"/>
  <c r="AH129" i="2" s="1"/>
  <c r="AF129" i="2" s="1"/>
  <c r="AE129" i="2" s="1" a="1"/>
  <c r="AE129" i="2" s="1"/>
  <c r="AD165" i="2"/>
  <c r="AH165" i="2" s="1"/>
  <c r="AF165" i="2" s="1"/>
  <c r="AE165" i="2" s="1" a="1"/>
  <c r="AE165" i="2" s="1"/>
  <c r="AD221" i="2"/>
  <c r="AH221" i="2" s="1"/>
  <c r="AF221" i="2" s="1"/>
  <c r="AE221" i="2" s="1" a="1"/>
  <c r="AE221" i="2" s="1"/>
  <c r="AD251" i="2"/>
  <c r="AH251" i="2" s="1"/>
  <c r="AF251" i="2" s="1"/>
  <c r="AE251" i="2" s="1" a="1"/>
  <c r="AE251" i="2" s="1"/>
  <c r="AD282" i="2"/>
  <c r="AH282" i="2" s="1"/>
  <c r="AF282" i="2" s="1"/>
  <c r="AE282" i="2" s="1" a="1"/>
  <c r="AE282" i="2" s="1"/>
  <c r="AD313" i="2"/>
  <c r="AH313" i="2" s="1"/>
  <c r="AF313" i="2" s="1"/>
  <c r="AE313" i="2" s="1" a="1"/>
  <c r="AE313" i="2" s="1"/>
  <c r="AD344" i="2"/>
  <c r="AH344" i="2" s="1"/>
  <c r="AF344" i="2" s="1"/>
  <c r="AE344" i="2" s="1" a="1"/>
  <c r="AE344" i="2" s="1"/>
  <c r="AD378" i="2"/>
  <c r="AH378" i="2" s="1"/>
  <c r="AF378" i="2" s="1"/>
  <c r="AE378" i="2" s="1" a="1"/>
  <c r="AE378" i="2" s="1"/>
  <c r="AD56" i="2"/>
  <c r="AH56" i="2" s="1"/>
  <c r="AF56" i="2" s="1"/>
  <c r="AE56" i="2" s="1" a="1"/>
  <c r="AE56" i="2" s="1"/>
  <c r="AD96" i="2"/>
  <c r="AH96" i="2" s="1"/>
  <c r="AF96" i="2" s="1"/>
  <c r="AE96" i="2" s="1" a="1"/>
  <c r="AE96" i="2" s="1"/>
  <c r="AD130" i="2"/>
  <c r="AH130" i="2" s="1"/>
  <c r="AF130" i="2" s="1"/>
  <c r="AE130" i="2" s="1" a="1"/>
  <c r="AE130" i="2" s="1"/>
  <c r="AD166" i="2"/>
  <c r="AH166" i="2" s="1"/>
  <c r="AF166" i="2" s="1"/>
  <c r="AE166" i="2" s="1" a="1"/>
  <c r="AE166" i="2" s="1"/>
  <c r="AD222" i="2"/>
  <c r="AH222" i="2" s="1"/>
  <c r="AF222" i="2" s="1"/>
  <c r="AE222" i="2" s="1" a="1"/>
  <c r="AE222" i="2" s="1"/>
  <c r="AD252" i="2"/>
  <c r="AH252" i="2" s="1"/>
  <c r="AF252" i="2" s="1"/>
  <c r="AE252" i="2" s="1" a="1"/>
  <c r="AE252" i="2" s="1"/>
  <c r="AD284" i="2"/>
  <c r="AH284" i="2" s="1"/>
  <c r="AF284" i="2" s="1"/>
  <c r="AE284" i="2" s="1" a="1"/>
  <c r="AE284" i="2" s="1"/>
  <c r="AD314" i="2"/>
  <c r="AH314" i="2" s="1"/>
  <c r="AF314" i="2" s="1"/>
  <c r="AE314" i="2" s="1" a="1"/>
  <c r="AE314" i="2" s="1"/>
  <c r="AD348" i="2"/>
  <c r="AH348" i="2" s="1"/>
  <c r="AF348" i="2" s="1"/>
  <c r="AE348" i="2" s="1" a="1"/>
  <c r="AE348" i="2" s="1"/>
  <c r="AD379" i="2"/>
  <c r="AH379" i="2" s="1"/>
  <c r="AF379" i="2" s="1"/>
  <c r="AE379" i="2" s="1" a="1"/>
  <c r="AE379" i="2" s="1"/>
  <c r="AD57" i="2"/>
  <c r="AH57" i="2" s="1"/>
  <c r="AF57" i="2" s="1"/>
  <c r="AE57" i="2" s="1" a="1"/>
  <c r="AE57" i="2" s="1"/>
  <c r="AD97" i="2"/>
  <c r="AH97" i="2" s="1"/>
  <c r="AF97" i="2" s="1"/>
  <c r="AE97" i="2" s="1" a="1"/>
  <c r="AE97" i="2" s="1"/>
  <c r="AD133" i="2"/>
  <c r="AH133" i="2" s="1"/>
  <c r="AF133" i="2" s="1"/>
  <c r="AE133" i="2" s="1" a="1"/>
  <c r="AE133" i="2" s="1"/>
  <c r="AD171" i="2"/>
  <c r="AH171" i="2" s="1"/>
  <c r="AD223" i="2"/>
  <c r="AH223" i="2" s="1"/>
  <c r="AF223" i="2" s="1"/>
  <c r="AE223" i="2" s="1" a="1"/>
  <c r="AE223" i="2" s="1"/>
  <c r="AD253" i="2"/>
  <c r="AH253" i="2" s="1"/>
  <c r="AF253" i="2" s="1"/>
  <c r="AE253" i="2" s="1" a="1"/>
  <c r="AE253" i="2" s="1"/>
  <c r="AD285" i="2"/>
  <c r="AH285" i="2" s="1"/>
  <c r="AF285" i="2" s="1"/>
  <c r="AE285" i="2" s="1" a="1"/>
  <c r="AE285" i="2" s="1"/>
  <c r="AD315" i="2"/>
  <c r="AH315" i="2" s="1"/>
  <c r="AD349" i="2"/>
  <c r="AH349" i="2" s="1"/>
  <c r="AF349" i="2" s="1"/>
  <c r="AE349" i="2" s="1" a="1"/>
  <c r="AE349" i="2" s="1"/>
  <c r="AD380" i="2"/>
  <c r="AH380" i="2" s="1"/>
  <c r="AF380" i="2" s="1"/>
  <c r="AE380" i="2" s="1" a="1"/>
  <c r="AE380" i="2" s="1"/>
  <c r="AD59" i="2"/>
  <c r="AH59" i="2" s="1"/>
  <c r="AF59" i="2" s="1"/>
  <c r="AE59" i="2" s="1" a="1"/>
  <c r="AE59" i="2" s="1"/>
  <c r="AD98" i="2"/>
  <c r="AH98" i="2" s="1"/>
  <c r="AF98" i="2" s="1"/>
  <c r="AE98" i="2" s="1" a="1"/>
  <c r="AE98" i="2" s="1"/>
  <c r="AD134" i="2"/>
  <c r="AH134" i="2" s="1"/>
  <c r="AF134" i="2" s="1"/>
  <c r="AE134" i="2" s="1" a="1"/>
  <c r="AE134" i="2" s="1"/>
  <c r="AD174" i="2"/>
  <c r="AH174" i="2" s="1"/>
  <c r="AF174" i="2" s="1"/>
  <c r="AE174" i="2" s="1" a="1"/>
  <c r="AE174" i="2" s="1"/>
  <c r="AD224" i="2"/>
  <c r="AH224" i="2" s="1"/>
  <c r="AF224" i="2" s="1"/>
  <c r="AE224" i="2" s="1" a="1"/>
  <c r="AE224" i="2" s="1"/>
  <c r="AD254" i="2"/>
  <c r="AH254" i="2" s="1"/>
  <c r="AF254" i="2" s="1"/>
  <c r="AE254" i="2" s="1" a="1"/>
  <c r="AE254" i="2" s="1"/>
  <c r="AD286" i="2"/>
  <c r="AH286" i="2" s="1"/>
  <c r="AF286" i="2" s="1"/>
  <c r="AE286" i="2" s="1" a="1"/>
  <c r="AE286" i="2" s="1"/>
  <c r="AD317" i="2"/>
  <c r="AH317" i="2" s="1"/>
  <c r="AF317" i="2" s="1"/>
  <c r="AE317" i="2" s="1" a="1"/>
  <c r="AE317" i="2" s="1"/>
  <c r="AD350" i="2"/>
  <c r="AH350" i="2" s="1"/>
  <c r="AF350" i="2" s="1"/>
  <c r="AE350" i="2" s="1" a="1"/>
  <c r="AE350" i="2" s="1"/>
  <c r="AD381" i="2"/>
  <c r="AH381" i="2" s="1"/>
  <c r="AF381" i="2" s="1"/>
  <c r="AE381" i="2" s="1" a="1"/>
  <c r="AE381" i="2" s="1"/>
  <c r="AD60" i="2"/>
  <c r="AH60" i="2" s="1"/>
  <c r="AF60" i="2" s="1"/>
  <c r="AE60" i="2" s="1" a="1"/>
  <c r="AE60" i="2" s="1"/>
  <c r="AD99" i="2"/>
  <c r="AH99" i="2" s="1"/>
  <c r="AD135" i="2"/>
  <c r="AH135" i="2" s="1"/>
  <c r="AF135" i="2" s="1"/>
  <c r="AE135" i="2" s="1" a="1"/>
  <c r="AE135" i="2" s="1"/>
  <c r="AD175" i="2"/>
  <c r="AH175" i="2" s="1"/>
  <c r="AF175" i="2" s="1"/>
  <c r="AE175" i="2" s="1" a="1"/>
  <c r="AE175" i="2" s="1"/>
  <c r="AD225" i="2"/>
  <c r="AH225" i="2" s="1"/>
  <c r="AF225" i="2" s="1"/>
  <c r="AE225" i="2" s="1" a="1"/>
  <c r="AE225" i="2" s="1"/>
  <c r="AD255" i="2"/>
  <c r="AH255" i="2" s="1"/>
  <c r="AF255" i="2" s="1"/>
  <c r="AE255" i="2" s="1" a="1"/>
  <c r="AE255" i="2" s="1"/>
  <c r="AD287" i="2"/>
  <c r="AH287" i="2" s="1"/>
  <c r="AD318" i="2"/>
  <c r="AH318" i="2" s="1"/>
  <c r="AF318" i="2" s="1"/>
  <c r="AE318" i="2" s="1" a="1"/>
  <c r="AE318" i="2" s="1"/>
  <c r="AD351" i="2"/>
  <c r="AH351" i="2" s="1"/>
  <c r="AF351" i="2" s="1"/>
  <c r="AE351" i="2" s="1" a="1"/>
  <c r="AE351" i="2" s="1"/>
  <c r="AD382" i="2"/>
  <c r="AH382" i="2" s="1"/>
  <c r="AF382" i="2" s="1"/>
  <c r="AE382" i="2" s="1" a="1"/>
  <c r="AE382" i="2" s="1"/>
  <c r="AD61" i="2"/>
  <c r="AH61" i="2" s="1"/>
  <c r="AF61" i="2" s="1"/>
  <c r="AE61" i="2" s="1" a="1"/>
  <c r="AE61" i="2" s="1"/>
  <c r="AD100" i="2"/>
  <c r="AH100" i="2" s="1"/>
  <c r="AF100" i="2" s="1"/>
  <c r="AE100" i="2" s="1" a="1"/>
  <c r="AE100" i="2" s="1"/>
  <c r="AD137" i="2"/>
  <c r="AH137" i="2" s="1"/>
  <c r="AF137" i="2" s="1"/>
  <c r="AE137" i="2" s="1" a="1"/>
  <c r="AE137" i="2" s="1"/>
  <c r="AD176" i="2"/>
  <c r="AH176" i="2" s="1"/>
  <c r="AF176" i="2" s="1"/>
  <c r="AE176" i="2" s="1" a="1"/>
  <c r="AE176" i="2" s="1"/>
  <c r="AD195" i="2"/>
  <c r="AH195" i="2" s="1"/>
  <c r="AF195" i="2" s="1"/>
  <c r="AE195" i="2" s="1" a="1"/>
  <c r="AE195" i="2" s="1"/>
  <c r="AD226" i="2"/>
  <c r="AH226" i="2" s="1"/>
  <c r="AF226" i="2" s="1"/>
  <c r="AE226" i="2" s="1" a="1"/>
  <c r="AE226" i="2" s="1"/>
  <c r="AD258" i="2"/>
  <c r="AH258" i="2" s="1"/>
  <c r="AF258" i="2" s="1"/>
  <c r="AE258" i="2" s="1" a="1"/>
  <c r="AE258" i="2" s="1"/>
  <c r="AD288" i="2"/>
  <c r="AH288" i="2" s="1"/>
  <c r="AF288" i="2" s="1"/>
  <c r="AE288" i="2" s="1" a="1"/>
  <c r="AE288" i="2" s="1"/>
  <c r="AD322" i="2"/>
  <c r="AH322" i="2" s="1"/>
  <c r="AF322" i="2" s="1"/>
  <c r="AE322" i="2" s="1" a="1"/>
  <c r="AE322" i="2" s="1"/>
  <c r="AD352" i="2"/>
  <c r="AH352" i="2" s="1"/>
  <c r="AF352" i="2" s="1"/>
  <c r="AE352" i="2" s="1" a="1"/>
  <c r="AE352" i="2" s="1"/>
  <c r="AD383" i="2"/>
  <c r="AH383" i="2" s="1"/>
  <c r="AF383" i="2" s="1"/>
  <c r="AE383" i="2" s="1" a="1"/>
  <c r="AE383" i="2" s="1"/>
  <c r="AD67" i="2"/>
  <c r="AH67" i="2" s="1"/>
  <c r="AF67" i="2" s="1"/>
  <c r="AE67" i="2" s="1" a="1"/>
  <c r="AE67" i="2" s="1"/>
  <c r="AD102" i="2"/>
  <c r="AH102" i="2" s="1"/>
  <c r="AD138" i="2"/>
  <c r="AH138" i="2" s="1"/>
  <c r="AF138" i="2" s="1"/>
  <c r="AE138" i="2" s="1" a="1"/>
  <c r="AE138" i="2" s="1"/>
  <c r="AD177" i="2"/>
  <c r="AH177" i="2" s="1"/>
  <c r="AF177" i="2" s="1"/>
  <c r="AE177" i="2" s="1" a="1"/>
  <c r="AE177" i="2" s="1"/>
  <c r="AD197" i="2"/>
  <c r="AH197" i="2" s="1"/>
  <c r="AF197" i="2" s="1"/>
  <c r="AE197" i="2" s="1" a="1"/>
  <c r="AE197" i="2" s="1"/>
  <c r="AD227" i="2"/>
  <c r="AH227" i="2" s="1"/>
  <c r="AF227" i="2" s="1"/>
  <c r="AE227" i="2" s="1" a="1"/>
  <c r="AE227" i="2" s="1"/>
  <c r="AD259" i="2"/>
  <c r="AH259" i="2" s="1"/>
  <c r="AF259" i="2" s="1"/>
  <c r="AE259" i="2" s="1" a="1"/>
  <c r="AE259" i="2" s="1"/>
  <c r="AD289" i="2"/>
  <c r="AH289" i="2" s="1"/>
  <c r="AF289" i="2" s="1"/>
  <c r="AE289" i="2" s="1" a="1"/>
  <c r="AE289" i="2" s="1"/>
  <c r="AD323" i="2"/>
  <c r="AH323" i="2" s="1"/>
  <c r="AF323" i="2" s="1"/>
  <c r="AE323" i="2" s="1" a="1"/>
  <c r="AE323" i="2" s="1"/>
  <c r="AD354" i="2"/>
  <c r="AH354" i="2" s="1"/>
  <c r="AD384" i="2"/>
  <c r="AH384" i="2" s="1"/>
  <c r="AF384" i="2" s="1"/>
  <c r="AE384" i="2" s="1" a="1"/>
  <c r="AE384" i="2" s="1"/>
  <c r="AD69" i="2"/>
  <c r="AH69" i="2" s="1"/>
  <c r="AF69" i="2" s="1"/>
  <c r="AE69" i="2" s="1" a="1"/>
  <c r="AE69" i="2" s="1"/>
  <c r="AD103" i="2"/>
  <c r="AH103" i="2" s="1"/>
  <c r="AF103" i="2" s="1"/>
  <c r="AE103" i="2" s="1" a="1"/>
  <c r="AE103" i="2" s="1"/>
  <c r="AD139" i="2"/>
  <c r="AH139" i="2" s="1"/>
  <c r="AF139" i="2" s="1"/>
  <c r="AE139" i="2" s="1" a="1"/>
  <c r="AE139" i="2" s="1"/>
  <c r="AD178" i="2"/>
  <c r="AH178" i="2" s="1"/>
  <c r="AF178" i="2" s="1"/>
  <c r="AE178" i="2" s="1" a="1"/>
  <c r="AE178" i="2" s="1"/>
  <c r="AD198" i="2"/>
  <c r="AH198" i="2" s="1"/>
  <c r="AF198" i="2" s="1"/>
  <c r="AE198" i="2" s="1" a="1"/>
  <c r="AE198" i="2" s="1"/>
  <c r="AD228" i="2"/>
  <c r="AH228" i="2" s="1"/>
  <c r="AF228" i="2" s="1"/>
  <c r="AE228" i="2" s="1" a="1"/>
  <c r="AE228" i="2" s="1"/>
  <c r="AD260" i="2"/>
  <c r="AH260" i="2" s="1"/>
  <c r="AF260" i="2" s="1"/>
  <c r="AE260" i="2" s="1" a="1"/>
  <c r="AE260" i="2" s="1"/>
  <c r="AD290" i="2"/>
  <c r="AH290" i="2" s="1"/>
  <c r="AF290" i="2" s="1"/>
  <c r="AE290" i="2" s="1" a="1"/>
  <c r="AE290" i="2" s="1"/>
  <c r="AD324" i="2"/>
  <c r="AH324" i="2" s="1"/>
  <c r="AF324" i="2" s="1"/>
  <c r="AE324" i="2" s="1" a="1"/>
  <c r="AE324" i="2" s="1"/>
  <c r="AD355" i="2"/>
  <c r="AH355" i="2" s="1"/>
  <c r="AD70" i="2"/>
  <c r="AH70" i="2" s="1"/>
  <c r="AF70" i="2" s="1"/>
  <c r="AE70" i="2" s="1" a="1"/>
  <c r="AE70" i="2" s="1"/>
  <c r="AD104" i="2"/>
  <c r="AH104" i="2" s="1"/>
  <c r="AF104" i="2" s="1"/>
  <c r="AE104" i="2" s="1" a="1"/>
  <c r="AE104" i="2" s="1"/>
  <c r="AD140" i="2"/>
  <c r="AH140" i="2" s="1"/>
  <c r="AF140" i="2" s="1"/>
  <c r="AE140" i="2" s="1" a="1"/>
  <c r="AE140" i="2" s="1"/>
  <c r="AD179" i="2"/>
  <c r="AH179" i="2" s="1"/>
  <c r="AF179" i="2" s="1"/>
  <c r="AE179" i="2" s="1" a="1"/>
  <c r="AE179" i="2" s="1"/>
  <c r="AD199" i="2"/>
  <c r="AH199" i="2" s="1"/>
  <c r="AF199" i="2" s="1"/>
  <c r="AE199" i="2" s="1" a="1"/>
  <c r="AE199" i="2" s="1"/>
  <c r="AD229" i="2"/>
  <c r="AH229" i="2" s="1"/>
  <c r="AF229" i="2" s="1"/>
  <c r="AE229" i="2" s="1" a="1"/>
  <c r="AE229" i="2" s="1"/>
  <c r="AD261" i="2"/>
  <c r="AH261" i="2" s="1"/>
  <c r="AF261" i="2" s="1"/>
  <c r="AE261" i="2" s="1" a="1"/>
  <c r="AE261" i="2" s="1"/>
  <c r="AD291" i="2"/>
  <c r="AH291" i="2" s="1"/>
  <c r="AD325" i="2"/>
  <c r="AH325" i="2" s="1"/>
  <c r="AF325" i="2" s="1"/>
  <c r="AE325" i="2" s="1" a="1"/>
  <c r="AE325" i="2" s="1"/>
  <c r="AD356" i="2"/>
  <c r="AH356" i="2" s="1"/>
  <c r="AF356" i="2" s="1"/>
  <c r="AE356" i="2" s="1" a="1"/>
  <c r="AE356" i="2" s="1"/>
  <c r="AD71" i="2"/>
  <c r="AH71" i="2" s="1"/>
  <c r="AF71" i="2" s="1"/>
  <c r="AE71" i="2" s="1" a="1"/>
  <c r="AE71" i="2" s="1"/>
  <c r="AD107" i="2"/>
  <c r="AH107" i="2" s="1"/>
  <c r="AF107" i="2" s="1"/>
  <c r="AE107" i="2" s="1" a="1"/>
  <c r="AE107" i="2" s="1"/>
  <c r="AD145" i="2"/>
  <c r="AH145" i="2" s="1"/>
  <c r="AF145" i="2" s="1"/>
  <c r="AE145" i="2" s="1" a="1"/>
  <c r="AE145" i="2" s="1"/>
  <c r="AD180" i="2"/>
  <c r="AH180" i="2" s="1"/>
  <c r="AF180" i="2" s="1"/>
  <c r="AE180" i="2" s="1" a="1"/>
  <c r="AE180" i="2" s="1"/>
  <c r="AD200" i="2"/>
  <c r="AH200" i="2" s="1"/>
  <c r="AF200" i="2" s="1"/>
  <c r="AE200" i="2" s="1" a="1"/>
  <c r="AE200" i="2" s="1"/>
  <c r="AD231" i="2"/>
  <c r="AH231" i="2" s="1"/>
  <c r="AF231" i="2" s="1"/>
  <c r="AE231" i="2" s="1" a="1"/>
  <c r="AE231" i="2" s="1"/>
  <c r="AD262" i="2"/>
  <c r="AH262" i="2" s="1"/>
  <c r="AF262" i="2" s="1"/>
  <c r="AE262" i="2" s="1" a="1"/>
  <c r="AE262" i="2" s="1"/>
  <c r="AD296" i="2"/>
  <c r="AH296" i="2" s="1"/>
  <c r="AF296" i="2" s="1"/>
  <c r="AE296" i="2" s="1" a="1"/>
  <c r="AE296" i="2" s="1"/>
  <c r="AD326" i="2"/>
  <c r="AH326" i="2" s="1"/>
  <c r="AF326" i="2" s="1"/>
  <c r="AE326" i="2" s="1" a="1"/>
  <c r="AE326" i="2" s="1"/>
  <c r="AD357" i="2"/>
  <c r="AH357" i="2" s="1"/>
  <c r="AF357" i="2" s="1"/>
  <c r="AE357" i="2" s="1" a="1"/>
  <c r="AE357" i="2" s="1"/>
  <c r="AD72" i="2"/>
  <c r="AH72" i="2" s="1"/>
  <c r="AF72" i="2" s="1"/>
  <c r="AE72" i="2" s="1" a="1"/>
  <c r="AE72" i="2" s="1"/>
  <c r="AD108" i="2"/>
  <c r="AH108" i="2" s="1"/>
  <c r="AF108" i="2" s="1"/>
  <c r="AE108" i="2" s="1" a="1"/>
  <c r="AE108" i="2" s="1"/>
  <c r="AD147" i="2"/>
  <c r="AH147" i="2" s="1"/>
  <c r="AD181" i="2"/>
  <c r="AH181" i="2" s="1"/>
  <c r="AF181" i="2" s="1"/>
  <c r="AE181" i="2" s="1" a="1"/>
  <c r="AE181" i="2" s="1"/>
  <c r="AD201" i="2"/>
  <c r="AH201" i="2" s="1"/>
  <c r="AF201" i="2" s="1"/>
  <c r="AE201" i="2" s="1" a="1"/>
  <c r="AE201" i="2" s="1"/>
  <c r="AD232" i="2"/>
  <c r="AH232" i="2" s="1"/>
  <c r="AF232" i="2" s="1"/>
  <c r="AE232" i="2" s="1" a="1"/>
  <c r="AE232" i="2" s="1"/>
  <c r="AD263" i="2"/>
  <c r="AH263" i="2" s="1"/>
  <c r="AF263" i="2" s="1"/>
  <c r="AE263" i="2" s="1" a="1"/>
  <c r="AE263" i="2" s="1"/>
  <c r="AD297" i="2"/>
  <c r="AH297" i="2" s="1"/>
  <c r="AF297" i="2" s="1"/>
  <c r="AE297" i="2" s="1" a="1"/>
  <c r="AE297" i="2" s="1"/>
  <c r="AD327" i="2"/>
  <c r="AH327" i="2" s="1"/>
  <c r="AF327" i="2" s="1"/>
  <c r="AE327" i="2" s="1" a="1"/>
  <c r="AE327" i="2" s="1"/>
  <c r="AD358" i="2"/>
  <c r="AH358" i="2" s="1"/>
  <c r="AF358" i="2" s="1"/>
  <c r="AE358" i="2" s="1" a="1"/>
  <c r="AE358" i="2" s="1"/>
  <c r="AD73" i="2"/>
  <c r="AH73" i="2" s="1"/>
  <c r="AF73" i="2" s="1"/>
  <c r="AE73" i="2" s="1" a="1"/>
  <c r="AE73" i="2" s="1"/>
  <c r="AD109" i="2"/>
  <c r="AH109" i="2" s="1"/>
  <c r="AF109" i="2" s="1"/>
  <c r="AE109" i="2" s="1" a="1"/>
  <c r="AE109" i="2" s="1"/>
  <c r="AD148" i="2"/>
  <c r="AH148" i="2" s="1"/>
  <c r="AD182" i="2"/>
  <c r="AH182" i="2" s="1"/>
  <c r="AF182" i="2" s="1"/>
  <c r="AE182" i="2" s="1" a="1"/>
  <c r="AE182" i="2" s="1"/>
  <c r="AD202" i="2"/>
  <c r="AH202" i="2" s="1"/>
  <c r="AF202" i="2" s="1"/>
  <c r="AE202" i="2" s="1" a="1"/>
  <c r="AE202" i="2" s="1"/>
  <c r="AD234" i="2"/>
  <c r="AH234" i="2" s="1"/>
  <c r="AD264" i="2"/>
  <c r="AH264" i="2" s="1"/>
  <c r="AD298" i="2"/>
  <c r="AH298" i="2" s="1"/>
  <c r="AF298" i="2" s="1"/>
  <c r="AE298" i="2" s="1" a="1"/>
  <c r="AE298" i="2" s="1"/>
  <c r="AD328" i="2"/>
  <c r="AH328" i="2" s="1"/>
  <c r="AF328" i="2" s="1"/>
  <c r="AE328" i="2" s="1" a="1"/>
  <c r="AE328" i="2" s="1"/>
  <c r="AD359" i="2"/>
  <c r="AH359" i="2" s="1"/>
  <c r="AF359" i="2" s="1"/>
  <c r="AE359" i="2" s="1" a="1"/>
  <c r="AE359" i="2" s="1"/>
  <c r="AD74" i="2"/>
  <c r="AH74" i="2" s="1"/>
  <c r="AF74" i="2" s="1"/>
  <c r="AE74" i="2" s="1" a="1"/>
  <c r="AE74" i="2" s="1"/>
  <c r="AD110" i="2"/>
  <c r="AH110" i="2" s="1"/>
  <c r="AF110" i="2" s="1"/>
  <c r="AE110" i="2" s="1" a="1"/>
  <c r="AE110" i="2" s="1"/>
  <c r="AD150" i="2"/>
  <c r="AH150" i="2" s="1"/>
  <c r="AF150" i="2" s="1"/>
  <c r="AE150" i="2" s="1" a="1"/>
  <c r="AE150" i="2" s="1"/>
  <c r="AD186" i="2"/>
  <c r="AH186" i="2" s="1"/>
  <c r="AF186" i="2" s="1"/>
  <c r="AE186" i="2" s="1" a="1"/>
  <c r="AE186" i="2" s="1"/>
  <c r="AD203" i="2"/>
  <c r="AH203" i="2" s="1"/>
  <c r="AF203" i="2" s="1"/>
  <c r="AE203" i="2" s="1" a="1"/>
  <c r="AE203" i="2" s="1"/>
  <c r="AD235" i="2"/>
  <c r="AH235" i="2" s="1"/>
  <c r="AF235" i="2" s="1"/>
  <c r="AE235" i="2" s="1" a="1"/>
  <c r="AE235" i="2" s="1"/>
  <c r="AD265" i="2"/>
  <c r="AH265" i="2" s="1"/>
  <c r="AF265" i="2" s="1"/>
  <c r="AE265" i="2" s="1" a="1"/>
  <c r="AE265" i="2" s="1"/>
  <c r="AD299" i="2"/>
  <c r="AH299" i="2" s="1"/>
  <c r="AF299" i="2" s="1"/>
  <c r="AE299" i="2" s="1" a="1"/>
  <c r="AE299" i="2" s="1"/>
  <c r="AD330" i="2"/>
  <c r="AH330" i="2" s="1"/>
  <c r="AF330" i="2" s="1"/>
  <c r="AE330" i="2" s="1" a="1"/>
  <c r="AE330" i="2" s="1"/>
  <c r="AD360" i="2"/>
  <c r="AH360" i="2" s="1"/>
  <c r="AF360" i="2" s="1"/>
  <c r="AE360" i="2" s="1" a="1"/>
  <c r="AE360" i="2" s="1"/>
  <c r="AD75" i="2"/>
  <c r="AH75" i="2" s="1"/>
  <c r="AF75" i="2" s="1"/>
  <c r="AE75" i="2" s="1" a="1"/>
  <c r="AE75" i="2" s="1"/>
  <c r="AD111" i="2"/>
  <c r="AH111" i="2" s="1"/>
  <c r="AD151" i="2"/>
  <c r="AH151" i="2" s="1"/>
  <c r="AF151" i="2" s="1"/>
  <c r="AE151" i="2" s="1" a="1"/>
  <c r="AE151" i="2" s="1"/>
  <c r="AD187" i="2"/>
  <c r="AH187" i="2" s="1"/>
  <c r="AF187" i="2" s="1"/>
  <c r="AE187" i="2" s="1" a="1"/>
  <c r="AE187" i="2" s="1"/>
  <c r="AD205" i="2"/>
  <c r="AH205" i="2" s="1"/>
  <c r="AF205" i="2" s="1"/>
  <c r="AE205" i="2" s="1" a="1"/>
  <c r="AE205" i="2" s="1"/>
  <c r="AD236" i="2"/>
  <c r="AH236" i="2" s="1"/>
  <c r="AD270" i="2"/>
  <c r="AH270" i="2" s="1"/>
  <c r="AF270" i="2" s="1"/>
  <c r="AE270" i="2" s="1" a="1"/>
  <c r="AE270" i="2" s="1"/>
  <c r="AD300" i="2"/>
  <c r="AH300" i="2" s="1"/>
  <c r="AF300" i="2" s="1"/>
  <c r="AE300" i="2" s="1" a="1"/>
  <c r="AE300" i="2" s="1"/>
  <c r="AD331" i="2"/>
  <c r="AH331" i="2" s="1"/>
  <c r="AF331" i="2" s="1"/>
  <c r="AE331" i="2" s="1" a="1"/>
  <c r="AE331" i="2" s="1"/>
  <c r="AD362" i="2"/>
  <c r="AH362" i="2" s="1"/>
  <c r="AF362" i="2" s="1"/>
  <c r="AE362" i="2" s="1" a="1"/>
  <c r="AE362" i="2" s="1"/>
  <c r="AD76" i="2"/>
  <c r="AH76" i="2" s="1"/>
  <c r="AF76" i="2" s="1"/>
  <c r="AE76" i="2" s="1" a="1"/>
  <c r="AE76" i="2" s="1"/>
  <c r="AD113" i="2"/>
  <c r="AH113" i="2" s="1"/>
  <c r="AF113" i="2" s="1"/>
  <c r="AE113" i="2" s="1" a="1"/>
  <c r="AE113" i="2" s="1"/>
  <c r="AD152" i="2"/>
  <c r="AH152" i="2" s="1"/>
  <c r="AF152" i="2" s="1"/>
  <c r="AE152" i="2" s="1" a="1"/>
  <c r="AE152" i="2" s="1"/>
  <c r="AD188" i="2"/>
  <c r="AH188" i="2" s="1"/>
  <c r="AF188" i="2" s="1"/>
  <c r="AD206" i="2"/>
  <c r="AH206" i="2" s="1"/>
  <c r="AF206" i="2" s="1"/>
  <c r="AE206" i="2" s="1" a="1"/>
  <c r="AE206" i="2" s="1"/>
  <c r="AD237" i="2"/>
  <c r="AH237" i="2" s="1"/>
  <c r="AF237" i="2" s="1"/>
  <c r="AE237" i="2" s="1" a="1"/>
  <c r="AE237" i="2" s="1"/>
  <c r="AD271" i="2"/>
  <c r="AH271" i="2" s="1"/>
  <c r="AD301" i="2"/>
  <c r="AH301" i="2" s="1"/>
  <c r="AF301" i="2" s="1"/>
  <c r="AE301" i="2" s="1" a="1"/>
  <c r="AE301" i="2" s="1"/>
  <c r="AD332" i="2"/>
  <c r="AH332" i="2" s="1"/>
  <c r="AF332" i="2" s="1"/>
  <c r="AE332" i="2" s="1" a="1"/>
  <c r="AE332" i="2" s="1"/>
  <c r="AD363" i="2"/>
  <c r="AH363" i="2" s="1"/>
  <c r="AF363" i="2" s="1"/>
  <c r="AE363" i="2" s="1" a="1"/>
  <c r="AE363" i="2" s="1"/>
  <c r="AD78" i="2"/>
  <c r="AH78" i="2" s="1"/>
  <c r="AF78" i="2" s="1"/>
  <c r="AE78" i="2" s="1" a="1"/>
  <c r="AE78" i="2" s="1"/>
  <c r="AD114" i="2"/>
  <c r="AH114" i="2" s="1"/>
  <c r="AD153" i="2"/>
  <c r="AH153" i="2" s="1"/>
  <c r="AD189" i="2"/>
  <c r="AH189" i="2" s="1"/>
  <c r="AF189" i="2" s="1"/>
  <c r="AE189" i="2" s="1" a="1"/>
  <c r="AE189" i="2" s="1"/>
  <c r="AD207" i="2"/>
  <c r="AH207" i="2" s="1"/>
  <c r="AD238" i="2"/>
  <c r="AH238" i="2" s="1"/>
  <c r="AF238" i="2" s="1"/>
  <c r="AE238" i="2" s="1" a="1"/>
  <c r="AE238" i="2" s="1"/>
  <c r="AD272" i="2"/>
  <c r="AH272" i="2" s="1"/>
  <c r="AF272" i="2" s="1"/>
  <c r="AE272" i="2" s="1" a="1"/>
  <c r="AE272" i="2" s="1"/>
  <c r="AD302" i="2"/>
  <c r="AH302" i="2" s="1"/>
  <c r="AF302" i="2" s="1"/>
  <c r="AE302" i="2" s="1" a="1"/>
  <c r="AE302" i="2" s="1"/>
  <c r="AD333" i="2"/>
  <c r="AH333" i="2" s="1"/>
  <c r="AF333" i="2" s="1"/>
  <c r="AE333" i="2" s="1" a="1"/>
  <c r="AE333" i="2" s="1"/>
  <c r="AD365" i="2"/>
  <c r="AH365" i="2" s="1"/>
  <c r="AF365" i="2" s="1"/>
  <c r="AE365" i="2" s="1" a="1"/>
  <c r="AE365" i="2" s="1"/>
  <c r="AD81" i="2"/>
  <c r="AH81" i="2" s="1"/>
  <c r="AF81" i="2" s="1"/>
  <c r="AE81" i="2" s="1" a="1"/>
  <c r="AE81" i="2" s="1"/>
  <c r="AD119" i="2"/>
  <c r="AH119" i="2" s="1"/>
  <c r="AF119" i="2" s="1"/>
  <c r="AE119" i="2" s="1" a="1"/>
  <c r="AE119" i="2" s="1"/>
  <c r="AD154" i="2"/>
  <c r="AH154" i="2" s="1"/>
  <c r="AF154" i="2" s="1"/>
  <c r="AE154" i="2" s="1" a="1"/>
  <c r="AE154" i="2" s="1"/>
  <c r="AD190" i="2"/>
  <c r="AH190" i="2" s="1"/>
  <c r="AF190" i="2" s="1"/>
  <c r="AE190" i="2" s="1" a="1"/>
  <c r="AE190" i="2" s="1"/>
  <c r="AD208" i="2"/>
  <c r="AH208" i="2" s="1"/>
  <c r="AD239" i="2"/>
  <c r="AH239" i="2" s="1"/>
  <c r="AF239" i="2" s="1"/>
  <c r="AE239" i="2" s="1" a="1"/>
  <c r="AE239" i="2" s="1"/>
  <c r="AD273" i="2"/>
  <c r="AH273" i="2" s="1"/>
  <c r="AD303" i="2"/>
  <c r="AH303" i="2" s="1"/>
  <c r="AF303" i="2" s="1"/>
  <c r="AE303" i="2" s="1" a="1"/>
  <c r="AE303" i="2" s="1"/>
  <c r="AD334" i="2"/>
  <c r="AH334" i="2" s="1"/>
  <c r="AF334" i="2" s="1"/>
  <c r="AE334" i="2" s="1" a="1"/>
  <c r="AE334" i="2" s="1"/>
  <c r="AD366" i="2"/>
  <c r="AH366" i="2" s="1"/>
  <c r="AF366" i="2" s="1"/>
  <c r="AE366" i="2" s="1" a="1"/>
  <c r="AE366" i="2" s="1"/>
  <c r="AD41" i="2"/>
  <c r="AH41" i="2" s="1"/>
  <c r="AD82" i="2"/>
  <c r="AH82" i="2" s="1"/>
  <c r="AF82" i="2" s="1"/>
  <c r="AE82" i="2" s="1" a="1"/>
  <c r="AE82" i="2" s="1"/>
  <c r="AD121" i="2"/>
  <c r="AH121" i="2" s="1"/>
  <c r="AF121" i="2" s="1"/>
  <c r="AE121" i="2" s="1" a="1"/>
  <c r="AE121" i="2" s="1"/>
  <c r="AD155" i="2"/>
  <c r="AH155" i="2" s="1"/>
  <c r="AF155" i="2" s="1"/>
  <c r="AE155" i="2" s="1" a="1"/>
  <c r="AE155" i="2" s="1"/>
  <c r="AD191" i="2"/>
  <c r="AH191" i="2" s="1"/>
  <c r="AF191" i="2" s="1"/>
  <c r="AE191" i="2" s="1" a="1"/>
  <c r="AE191" i="2" s="1"/>
  <c r="AD210" i="2"/>
  <c r="AH210" i="2" s="1"/>
  <c r="AF210" i="2" s="1"/>
  <c r="AE210" i="2" s="1" a="1"/>
  <c r="AE210" i="2" s="1"/>
  <c r="AD243" i="2"/>
  <c r="AH243" i="2" s="1"/>
  <c r="AF243" i="2" s="1"/>
  <c r="AE243" i="2" s="1" a="1"/>
  <c r="AE243" i="2" s="1"/>
  <c r="AD274" i="2"/>
  <c r="AH274" i="2" s="1"/>
  <c r="AF274" i="2" s="1"/>
  <c r="AE274" i="2" s="1" a="1"/>
  <c r="AE274" i="2" s="1"/>
  <c r="AD304" i="2"/>
  <c r="AH304" i="2" s="1"/>
  <c r="AF304" i="2" s="1"/>
  <c r="AE304" i="2" s="1" a="1"/>
  <c r="AE304" i="2" s="1"/>
  <c r="AD336" i="2"/>
  <c r="AH336" i="2" s="1"/>
  <c r="AF336" i="2" s="1"/>
  <c r="AE336" i="2" s="1" a="1"/>
  <c r="AE336" i="2" s="1"/>
  <c r="AD367" i="2"/>
  <c r="AH367" i="2" s="1"/>
  <c r="AF367" i="2" s="1"/>
  <c r="AE367" i="2" s="1" a="1"/>
  <c r="AE367" i="2" s="1"/>
  <c r="AD46" i="2"/>
  <c r="AH46" i="2" s="1"/>
  <c r="AF46" i="2" s="1"/>
  <c r="AE46" i="2" s="1" a="1"/>
  <c r="AE46" i="2" s="1"/>
  <c r="AD83" i="2"/>
  <c r="AH83" i="2" s="1"/>
  <c r="AF83" i="2" s="1"/>
  <c r="AD122" i="2"/>
  <c r="AH122" i="2" s="1"/>
  <c r="AF122" i="2" s="1"/>
  <c r="AE122" i="2" s="1" a="1"/>
  <c r="AE122" i="2" s="1"/>
  <c r="AD156" i="2"/>
  <c r="AH156" i="2" s="1"/>
  <c r="AF156" i="2" s="1"/>
  <c r="AE156" i="2" s="1" a="1"/>
  <c r="AE156" i="2" s="1"/>
  <c r="AD192" i="2"/>
  <c r="AH192" i="2" s="1"/>
  <c r="AF192" i="2" s="1"/>
  <c r="AE192" i="2" s="1" a="1"/>
  <c r="AE192" i="2" s="1"/>
  <c r="AD211" i="2"/>
  <c r="AH211" i="2" s="1"/>
  <c r="AF211" i="2" s="1"/>
  <c r="AE211" i="2" s="1" a="1"/>
  <c r="AE211" i="2" s="1"/>
  <c r="AD245" i="2"/>
  <c r="AH245" i="2" s="1"/>
  <c r="AF245" i="2" s="1"/>
  <c r="AE245" i="2" s="1" a="1"/>
  <c r="AE245" i="2" s="1"/>
  <c r="AD275" i="2"/>
  <c r="AH275" i="2" s="1"/>
  <c r="AF275" i="2" s="1"/>
  <c r="AE275" i="2" s="1" a="1"/>
  <c r="AE275" i="2" s="1"/>
  <c r="AD306" i="2"/>
  <c r="AH306" i="2" s="1"/>
  <c r="AF306" i="2" s="1"/>
  <c r="AE306" i="2" s="1" a="1"/>
  <c r="AE306" i="2" s="1"/>
  <c r="AD337" i="2"/>
  <c r="AH337" i="2" s="1"/>
  <c r="AF337" i="2" s="1"/>
  <c r="AE337" i="2" s="1" a="1"/>
  <c r="AE337" i="2" s="1"/>
  <c r="AD368" i="2"/>
  <c r="AH368" i="2" s="1"/>
  <c r="AF368" i="2" s="1"/>
  <c r="AE368" i="2" s="1" a="1"/>
  <c r="AE368" i="2" s="1"/>
  <c r="AD369" i="2"/>
  <c r="AH369" i="2" s="1"/>
  <c r="AF369" i="2" s="1"/>
  <c r="AE369" i="2" s="1" a="1"/>
  <c r="AE369" i="2" s="1"/>
  <c r="AD370" i="2"/>
  <c r="AH370" i="2" s="1"/>
  <c r="AD47" i="2"/>
  <c r="AH47" i="2" s="1"/>
  <c r="AF47" i="2" s="1"/>
  <c r="AE47" i="2" s="1" a="1"/>
  <c r="AE47" i="2" s="1"/>
  <c r="AD48" i="2"/>
  <c r="AH48" i="2" s="1"/>
  <c r="AF48" i="2" s="1"/>
  <c r="AE48" i="2" s="1" a="1"/>
  <c r="AE48" i="2" s="1"/>
  <c r="AD84" i="2"/>
  <c r="AH84" i="2" s="1"/>
  <c r="AF84" i="2" s="1"/>
  <c r="AE84" i="2" s="1" a="1"/>
  <c r="AE84" i="2" s="1"/>
  <c r="AD85" i="2"/>
  <c r="AH85" i="2" s="1"/>
  <c r="AD123" i="2"/>
  <c r="AH123" i="2" s="1"/>
  <c r="AD124" i="2"/>
  <c r="AH124" i="2" s="1"/>
  <c r="AF124" i="2" s="1"/>
  <c r="AE124" i="2" s="1" a="1"/>
  <c r="AE124" i="2" s="1"/>
  <c r="AD159" i="2"/>
  <c r="AH159" i="2" s="1"/>
  <c r="AF159" i="2" s="1"/>
  <c r="AD161" i="2"/>
  <c r="AH161" i="2" s="1"/>
  <c r="AF161" i="2" s="1"/>
  <c r="AE161" i="2" s="1" a="1"/>
  <c r="AE161" i="2" s="1"/>
  <c r="AD212" i="2"/>
  <c r="AH212" i="2" s="1"/>
  <c r="AF212" i="2" s="1"/>
  <c r="AE212" i="2" s="1" a="1"/>
  <c r="AE212" i="2" s="1"/>
  <c r="AD213" i="2"/>
  <c r="AH213" i="2" s="1"/>
  <c r="AF213" i="2" s="1"/>
  <c r="AE213" i="2" s="1" a="1"/>
  <c r="AE213" i="2" s="1"/>
  <c r="AD246" i="2"/>
  <c r="AH246" i="2" s="1"/>
  <c r="AF246" i="2" s="1"/>
  <c r="AE246" i="2" s="1" a="1"/>
  <c r="AE246" i="2" s="1"/>
  <c r="AD247" i="2"/>
  <c r="AH247" i="2" s="1"/>
  <c r="AF247" i="2" s="1"/>
  <c r="AE247" i="2" s="1" a="1"/>
  <c r="AE247" i="2" s="1"/>
  <c r="AD276" i="2"/>
  <c r="AH276" i="2" s="1"/>
  <c r="AF276" i="2" s="1"/>
  <c r="AE276" i="2" s="1" a="1"/>
  <c r="AE276" i="2" s="1"/>
  <c r="AD277" i="2"/>
  <c r="AH277" i="2" s="1"/>
  <c r="AF277" i="2" s="1"/>
  <c r="AE277" i="2" s="1" a="1"/>
  <c r="AE277" i="2" s="1"/>
  <c r="AD307" i="2"/>
  <c r="AH307" i="2" s="1"/>
  <c r="AF307" i="2" s="1"/>
  <c r="AE307" i="2" s="1" a="1"/>
  <c r="AE307" i="2" s="1"/>
  <c r="AD308" i="2"/>
  <c r="AH308" i="2" s="1"/>
  <c r="AF308" i="2" s="1"/>
  <c r="AE308" i="2" s="1" a="1"/>
  <c r="AE308" i="2" s="1"/>
  <c r="AD338" i="2"/>
  <c r="AH338" i="2" s="1"/>
  <c r="AF338" i="2" s="1"/>
  <c r="AE338" i="2" s="1" a="1"/>
  <c r="AE338" i="2" s="1"/>
  <c r="AD339" i="2"/>
  <c r="AH339" i="2" s="1"/>
  <c r="AF339" i="2" s="1"/>
  <c r="AE339" i="2" s="1" a="1"/>
  <c r="AE339" i="2" s="1"/>
  <c r="AH36" i="2"/>
  <c r="AF36" i="2" s="1"/>
  <c r="AE36" i="2" s="1" a="1"/>
  <c r="AE36" i="2" s="1"/>
  <c r="AD13" i="2"/>
  <c r="AD21" i="2"/>
  <c r="AH21" i="2" s="1"/>
  <c r="AF21" i="2" s="1"/>
  <c r="AE21" i="2" s="1" a="1"/>
  <c r="AE21" i="2" s="1"/>
  <c r="AD29" i="2"/>
  <c r="AH29" i="2" s="1"/>
  <c r="AD14" i="2"/>
  <c r="AD18" i="2"/>
  <c r="AH18" i="2" s="1"/>
  <c r="AF18" i="2" s="1"/>
  <c r="AE18" i="2" s="1" a="1"/>
  <c r="AE18" i="2" s="1"/>
  <c r="AD22" i="2"/>
  <c r="AH22" i="2" s="1"/>
  <c r="AF22" i="2" s="1"/>
  <c r="AE22" i="2" s="1" a="1"/>
  <c r="AE22" i="2" s="1"/>
  <c r="AD26" i="2"/>
  <c r="AH26" i="2" s="1"/>
  <c r="AF26" i="2" s="1"/>
  <c r="AE26" i="2" s="1" a="1"/>
  <c r="AE26" i="2" s="1"/>
  <c r="AD30" i="2"/>
  <c r="AH30" i="2" s="1"/>
  <c r="AF30" i="2" s="1"/>
  <c r="AE30" i="2" s="1" a="1"/>
  <c r="AE30" i="2" s="1"/>
  <c r="AD34" i="2"/>
  <c r="AH34" i="2" s="1"/>
  <c r="AF34" i="2" s="1"/>
  <c r="AE34" i="2" s="1" a="1"/>
  <c r="AE34" i="2" s="1"/>
  <c r="AD24" i="2"/>
  <c r="AH24" i="2" s="1"/>
  <c r="AF24" i="2" s="1"/>
  <c r="AE24" i="2" s="1" a="1"/>
  <c r="AE24" i="2" s="1"/>
  <c r="AD15" i="2"/>
  <c r="AH15" i="2" s="1"/>
  <c r="AF15" i="2" s="1"/>
  <c r="AE15" i="2" s="1" a="1"/>
  <c r="AE15" i="2" s="1"/>
  <c r="AD19" i="2"/>
  <c r="AH19" i="2" s="1"/>
  <c r="AF19" i="2" s="1"/>
  <c r="AE19" i="2" s="1" a="1"/>
  <c r="AE19" i="2" s="1"/>
  <c r="AD23" i="2"/>
  <c r="AH23" i="2" s="1"/>
  <c r="AF23" i="2" s="1"/>
  <c r="AE23" i="2" s="1" a="1"/>
  <c r="AE23" i="2" s="1"/>
  <c r="AD27" i="2"/>
  <c r="AH27" i="2" s="1"/>
  <c r="AF27" i="2" s="1"/>
  <c r="AE27" i="2" s="1" a="1"/>
  <c r="AE27" i="2" s="1"/>
  <c r="AD31" i="2"/>
  <c r="AH31" i="2" s="1"/>
  <c r="AD35" i="2"/>
  <c r="AH35" i="2" s="1"/>
  <c r="AF35" i="2" s="1"/>
  <c r="AE35" i="2" s="1" a="1"/>
  <c r="AE35" i="2" s="1"/>
  <c r="AD16" i="2"/>
  <c r="AH16" i="2" s="1"/>
  <c r="AF16" i="2" s="1"/>
  <c r="AE16" i="2" s="1" a="1"/>
  <c r="AE16" i="2" s="1"/>
  <c r="AD20" i="2"/>
  <c r="AH20" i="2" s="1"/>
  <c r="AF20" i="2" s="1"/>
  <c r="AE20" i="2" s="1" a="1"/>
  <c r="AE20" i="2" s="1"/>
  <c r="AD28" i="2"/>
  <c r="AH28" i="2" s="1"/>
  <c r="AF28" i="2" s="1"/>
  <c r="AE28" i="2" s="1" a="1"/>
  <c r="AE28" i="2" s="1"/>
  <c r="AD32" i="2"/>
  <c r="AH32" i="2" s="1"/>
  <c r="AF32" i="2" s="1"/>
  <c r="AE32" i="2" s="1" a="1"/>
  <c r="AE32" i="2" s="1"/>
  <c r="AD17" i="2"/>
  <c r="AH17" i="2" s="1"/>
  <c r="AF17" i="2" s="1"/>
  <c r="AE17" i="2" s="1" a="1"/>
  <c r="AE17" i="2" s="1"/>
  <c r="AD25" i="2"/>
  <c r="AH25" i="2" s="1"/>
  <c r="AF25" i="2" s="1"/>
  <c r="AE25" i="2" s="1" a="1"/>
  <c r="AE25" i="2" s="1"/>
  <c r="AD33" i="2"/>
  <c r="AH33" i="2" s="1"/>
  <c r="AF33" i="2" s="1"/>
  <c r="AE33" i="2" s="1" a="1"/>
  <c r="AE33" i="2" s="1"/>
  <c r="BH5" i="8"/>
  <c r="BH9" i="8"/>
  <c r="BH13" i="8"/>
  <c r="BH7" i="8"/>
  <c r="BH11" i="8"/>
  <c r="BH8" i="8"/>
  <c r="BH14" i="8"/>
  <c r="BH6" i="8"/>
  <c r="BH10" i="8"/>
  <c r="BH12" i="8"/>
  <c r="AD7" i="2"/>
  <c r="AD9" i="2"/>
  <c r="AH9" i="2" s="1"/>
  <c r="AD6" i="2"/>
  <c r="AD12" i="2"/>
  <c r="AD5" i="2"/>
  <c r="AH5" i="2" s="1"/>
  <c r="AD11" i="2"/>
  <c r="AD10" i="2"/>
  <c r="AC385" i="2"/>
  <c r="AD8" i="2"/>
  <c r="AF123" i="2" l="1"/>
  <c r="AE123" i="2" s="1" a="1"/>
  <c r="AE123" i="2" s="1"/>
  <c r="AF31" i="2"/>
  <c r="AE31" i="2" s="1" a="1"/>
  <c r="AE31" i="2" s="1"/>
  <c r="AF234" i="2"/>
  <c r="AE234" i="2" s="1" a="1"/>
  <c r="AE234" i="2" s="1"/>
  <c r="AF271" i="2"/>
  <c r="AE271" i="2" s="1" a="1"/>
  <c r="AE271" i="2" s="1"/>
  <c r="AF148" i="2"/>
  <c r="AE148" i="2" s="1" a="1"/>
  <c r="AE148" i="2" s="1"/>
  <c r="AF315" i="2"/>
  <c r="AE315" i="2" s="1" a="1"/>
  <c r="AE315" i="2" s="1"/>
  <c r="AF370" i="2"/>
  <c r="AE370" i="2" s="1" a="1"/>
  <c r="AE370" i="2" s="1"/>
  <c r="AF355" i="2"/>
  <c r="AE355" i="2" s="1" a="1"/>
  <c r="AE355" i="2" s="1"/>
  <c r="AF102" i="2"/>
  <c r="AE102" i="2" s="1" a="1"/>
  <c r="AE102" i="2" s="1"/>
  <c r="AF184" i="2"/>
  <c r="AE184" i="2" s="1" a="1"/>
  <c r="AE184" i="2" s="1"/>
  <c r="AF41" i="2"/>
  <c r="AE41" i="2" s="1" a="1"/>
  <c r="AE41" i="2" s="1"/>
  <c r="AF207" i="2"/>
  <c r="AE207" i="2" s="1" a="1"/>
  <c r="AE207" i="2" s="1"/>
  <c r="AF157" i="2"/>
  <c r="AE157" i="2" s="1" a="1"/>
  <c r="AE157" i="2" s="1"/>
  <c r="AF153" i="2"/>
  <c r="AE153" i="2" s="1" a="1"/>
  <c r="AE153" i="2" s="1"/>
  <c r="AF29" i="2"/>
  <c r="AE29" i="2" s="1" a="1"/>
  <c r="AE29" i="2" s="1"/>
  <c r="AF114" i="2"/>
  <c r="AE114" i="2" s="1" a="1"/>
  <c r="AE114" i="2" s="1"/>
  <c r="AF236" i="2"/>
  <c r="AE236" i="2" s="1" a="1"/>
  <c r="AE236" i="2" s="1"/>
  <c r="AF291" i="2"/>
  <c r="AE291" i="2" s="1" a="1"/>
  <c r="AE291" i="2" s="1"/>
  <c r="AF99" i="2"/>
  <c r="AE99" i="2" s="1" a="1"/>
  <c r="AE99" i="2" s="1"/>
  <c r="AF273" i="2"/>
  <c r="AE273" i="2" s="1" a="1"/>
  <c r="AE273" i="2" s="1"/>
  <c r="AF147" i="2"/>
  <c r="AE147" i="2" s="1" a="1"/>
  <c r="AE147" i="2" s="1"/>
  <c r="AF85" i="2"/>
  <c r="AE85" i="2" s="1" a="1"/>
  <c r="AE85" i="2" s="1"/>
  <c r="AF144" i="2"/>
  <c r="AE144" i="2" s="1" a="1"/>
  <c r="AE144" i="2" s="1"/>
  <c r="AF65" i="2"/>
  <c r="AE65" i="2" s="1" a="1"/>
  <c r="AE65" i="2" s="1"/>
  <c r="AF364" i="2"/>
  <c r="AE364" i="2" s="1" a="1"/>
  <c r="AE364" i="2" s="1"/>
  <c r="AF111" i="2"/>
  <c r="AE111" i="2" s="1" a="1"/>
  <c r="AE111" i="2" s="1"/>
  <c r="AF319" i="2"/>
  <c r="AE319" i="2" s="1" a="1"/>
  <c r="AE319" i="2" s="1"/>
  <c r="AF320" i="2"/>
  <c r="AE320" i="2" s="1" a="1"/>
  <c r="AE320" i="2" s="1"/>
  <c r="AF53" i="2"/>
  <c r="AE53" i="2" s="1" a="1"/>
  <c r="AE53" i="2" s="1"/>
  <c r="AF88" i="2"/>
  <c r="AE88" i="2" s="1" a="1"/>
  <c r="AE88" i="2" s="1"/>
  <c r="AF171" i="2"/>
  <c r="AE171" i="2" s="1" a="1"/>
  <c r="AE171" i="2" s="1"/>
  <c r="AF376" i="2"/>
  <c r="AE376" i="2" s="1" a="1"/>
  <c r="AE376" i="2" s="1"/>
  <c r="AF371" i="2"/>
  <c r="AE371" i="2" s="1" a="1"/>
  <c r="AE371" i="2" s="1"/>
  <c r="AF377" i="2"/>
  <c r="AE377" i="2" s="1" a="1"/>
  <c r="AE377" i="2" s="1"/>
  <c r="AF208" i="2"/>
  <c r="AE208" i="2" s="1" a="1"/>
  <c r="AE208" i="2" s="1"/>
  <c r="AF264" i="2"/>
  <c r="AE264" i="2" s="1" a="1"/>
  <c r="AE264" i="2" s="1"/>
  <c r="AF354" i="2"/>
  <c r="AE354" i="2" s="1" a="1"/>
  <c r="AE354" i="2" s="1"/>
  <c r="AF287" i="2"/>
  <c r="AE287" i="2" s="1" a="1"/>
  <c r="AE287" i="2" s="1"/>
  <c r="AF343" i="2"/>
  <c r="AE343" i="2" s="1" a="1"/>
  <c r="AE343" i="2" s="1"/>
  <c r="AF269" i="2"/>
  <c r="AE269" i="2" s="1" a="1"/>
  <c r="AE269" i="2" s="1"/>
  <c r="AF230" i="2"/>
  <c r="AE230" i="2" s="1" a="1"/>
  <c r="AE230" i="2" s="1"/>
  <c r="BH385"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385" i="2"/>
  <c r="AD385" i="2"/>
  <c r="AF5" i="2" l="1"/>
  <c r="AH385" i="2"/>
  <c r="AE385" i="2" l="1"/>
  <c r="C6" i="6" a="1"/>
  <c r="C6" i="6" s="1"/>
  <c r="C10" i="6" a="1"/>
  <c r="C10" i="6" s="1"/>
  <c r="AF385" i="2"/>
  <c r="C12" i="6" a="1"/>
  <c r="C12" i="6" s="1"/>
  <c r="C3" i="6" a="1"/>
  <c r="C3" i="6" s="1"/>
  <c r="C7" i="6" a="1"/>
  <c r="C7" i="6" s="1"/>
  <c r="C4" i="6" a="1"/>
  <c r="C4" i="6" s="1"/>
  <c r="C8" i="6" a="1"/>
  <c r="C8" i="6" s="1"/>
  <c r="AE5" i="2" a="1"/>
  <c r="AE5" i="2" s="1"/>
  <c r="C11" i="6" a="1"/>
  <c r="C11" i="6" s="1"/>
  <c r="C5" i="6" a="1"/>
  <c r="C5" i="6" s="1"/>
  <c r="C9" i="6" a="1"/>
  <c r="C9" i="6" s="1"/>
  <c r="AI50" i="2" l="1"/>
  <c r="A50" i="8" s="1"/>
  <c r="AI74" i="2"/>
  <c r="A74" i="8" s="1"/>
  <c r="AI98" i="2"/>
  <c r="A98" i="8" s="1"/>
  <c r="AI122" i="2"/>
  <c r="A122" i="8" s="1"/>
  <c r="AI146" i="2"/>
  <c r="A146" i="8" s="1"/>
  <c r="AI170" i="2"/>
  <c r="A170" i="8" s="1"/>
  <c r="AI194" i="2"/>
  <c r="A194" i="8" s="1"/>
  <c r="AI206" i="2"/>
  <c r="A206" i="8" s="1"/>
  <c r="AI230" i="2"/>
  <c r="A230" i="8" s="1"/>
  <c r="AI254" i="2"/>
  <c r="A254" i="8" s="1"/>
  <c r="AI278" i="2"/>
  <c r="A278" i="8" s="1"/>
  <c r="AI302" i="2"/>
  <c r="A302" i="8" s="1"/>
  <c r="AI326" i="2"/>
  <c r="A326" i="8" s="1"/>
  <c r="AI350" i="2"/>
  <c r="A350" i="8" s="1"/>
  <c r="AI374" i="2"/>
  <c r="A374" i="8" s="1"/>
  <c r="AJ38" i="2"/>
  <c r="R38" i="8" s="1"/>
  <c r="AI51" i="2"/>
  <c r="A51" i="8" s="1"/>
  <c r="AI75" i="2"/>
  <c r="A75" i="8" s="1"/>
  <c r="AI99" i="2"/>
  <c r="A99" i="8" s="1"/>
  <c r="AI123" i="2"/>
  <c r="A123" i="8" s="1"/>
  <c r="AI147" i="2"/>
  <c r="A147" i="8" s="1"/>
  <c r="AI171" i="2"/>
  <c r="A171" i="8" s="1"/>
  <c r="AI207" i="2"/>
  <c r="A207" i="8" s="1"/>
  <c r="AI231" i="2"/>
  <c r="A231" i="8" s="1"/>
  <c r="AI255" i="2"/>
  <c r="A255" i="8" s="1"/>
  <c r="AI279" i="2"/>
  <c r="A279" i="8" s="1"/>
  <c r="AI303" i="2"/>
  <c r="A303" i="8" s="1"/>
  <c r="AI327" i="2"/>
  <c r="A327" i="8" s="1"/>
  <c r="AI351" i="2"/>
  <c r="A351" i="8" s="1"/>
  <c r="AI375" i="2"/>
  <c r="A375" i="8" s="1"/>
  <c r="AJ39" i="2"/>
  <c r="R39" i="8" s="1"/>
  <c r="AI52" i="2"/>
  <c r="A52" i="8" s="1"/>
  <c r="AI76" i="2"/>
  <c r="A76" i="8" s="1"/>
  <c r="AI100" i="2"/>
  <c r="A100" i="8" s="1"/>
  <c r="AI124" i="2"/>
  <c r="A124" i="8" s="1"/>
  <c r="AI148" i="2"/>
  <c r="A148" i="8" s="1"/>
  <c r="AI172" i="2"/>
  <c r="A172" i="8" s="1"/>
  <c r="AI53" i="2"/>
  <c r="A53" i="8" s="1"/>
  <c r="AI77" i="2"/>
  <c r="A77" i="8" s="1"/>
  <c r="AI101" i="2"/>
  <c r="A101" i="8" s="1"/>
  <c r="AI125" i="2"/>
  <c r="A125" i="8" s="1"/>
  <c r="AI149" i="2"/>
  <c r="A149" i="8" s="1"/>
  <c r="AI173" i="2"/>
  <c r="A173" i="8" s="1"/>
  <c r="AI54" i="2"/>
  <c r="A54" i="8" s="1"/>
  <c r="AI78" i="2"/>
  <c r="A78" i="8" s="1"/>
  <c r="AI102" i="2"/>
  <c r="A102" i="8" s="1"/>
  <c r="AI126" i="2"/>
  <c r="A126" i="8" s="1"/>
  <c r="AI150" i="2"/>
  <c r="A150" i="8" s="1"/>
  <c r="AI174" i="2"/>
  <c r="A174" i="8" s="1"/>
  <c r="AI37" i="2"/>
  <c r="A37" i="8" s="1"/>
  <c r="AI61" i="2"/>
  <c r="A61" i="8" s="1"/>
  <c r="AI85" i="2"/>
  <c r="A85" i="8" s="1"/>
  <c r="AI109" i="2"/>
  <c r="A109" i="8" s="1"/>
  <c r="AI133" i="2"/>
  <c r="A133" i="8" s="1"/>
  <c r="AI157" i="2"/>
  <c r="A157" i="8" s="1"/>
  <c r="AI181" i="2"/>
  <c r="A181" i="8" s="1"/>
  <c r="AI217" i="2"/>
  <c r="A217" i="8" s="1"/>
  <c r="AI241" i="2"/>
  <c r="A241" i="8" s="1"/>
  <c r="AI265" i="2"/>
  <c r="A265" i="8" s="1"/>
  <c r="AI289" i="2"/>
  <c r="A289" i="8" s="1"/>
  <c r="AI313" i="2"/>
  <c r="A313" i="8" s="1"/>
  <c r="AI337" i="2"/>
  <c r="A337" i="8" s="1"/>
  <c r="AI361" i="2"/>
  <c r="A361" i="8" s="1"/>
  <c r="AJ49" i="2"/>
  <c r="R49" i="8" s="1"/>
  <c r="AI38" i="2"/>
  <c r="A38" i="8" s="1"/>
  <c r="AI62" i="2"/>
  <c r="A62" i="8" s="1"/>
  <c r="AI86" i="2"/>
  <c r="A86" i="8" s="1"/>
  <c r="AI110" i="2"/>
  <c r="A110" i="8" s="1"/>
  <c r="AI134" i="2"/>
  <c r="A134" i="8" s="1"/>
  <c r="AI158" i="2"/>
  <c r="A158" i="8" s="1"/>
  <c r="AI182" i="2"/>
  <c r="A182" i="8" s="1"/>
  <c r="AI218" i="2"/>
  <c r="A218" i="8" s="1"/>
  <c r="AI242" i="2"/>
  <c r="A242" i="8" s="1"/>
  <c r="AI266" i="2"/>
  <c r="A266" i="8" s="1"/>
  <c r="AI290" i="2"/>
  <c r="A290" i="8" s="1"/>
  <c r="AI314" i="2"/>
  <c r="A314" i="8" s="1"/>
  <c r="AI338" i="2"/>
  <c r="A338" i="8" s="1"/>
  <c r="AI362" i="2"/>
  <c r="A362" i="8" s="1"/>
  <c r="AJ50" i="2"/>
  <c r="R50" i="8" s="1"/>
  <c r="AI39" i="2"/>
  <c r="A39" i="8" s="1"/>
  <c r="AI63" i="2"/>
  <c r="A63" i="8" s="1"/>
  <c r="AI87" i="2"/>
  <c r="A87" i="8" s="1"/>
  <c r="AI111" i="2"/>
  <c r="A111" i="8" s="1"/>
  <c r="AI135" i="2"/>
  <c r="A135" i="8" s="1"/>
  <c r="AI159" i="2"/>
  <c r="A159" i="8" s="1"/>
  <c r="AI183" i="2"/>
  <c r="A183" i="8" s="1"/>
  <c r="AI195" i="2"/>
  <c r="A195" i="8" s="1"/>
  <c r="AI219" i="2"/>
  <c r="A219" i="8" s="1"/>
  <c r="AI243" i="2"/>
  <c r="A243" i="8" s="1"/>
  <c r="AI267" i="2"/>
  <c r="A267" i="8" s="1"/>
  <c r="AI291" i="2"/>
  <c r="A291" i="8" s="1"/>
  <c r="AI315" i="2"/>
  <c r="A315" i="8" s="1"/>
  <c r="AI339" i="2"/>
  <c r="A339" i="8" s="1"/>
  <c r="AI363" i="2"/>
  <c r="A363" i="8" s="1"/>
  <c r="AJ51" i="2"/>
  <c r="R51" i="8" s="1"/>
  <c r="AI40" i="2"/>
  <c r="A40" i="8" s="1"/>
  <c r="AI64" i="2"/>
  <c r="A64" i="8" s="1"/>
  <c r="AI88" i="2"/>
  <c r="A88" i="8" s="1"/>
  <c r="AI112" i="2"/>
  <c r="A112" i="8" s="1"/>
  <c r="AI136" i="2"/>
  <c r="A136" i="8" s="1"/>
  <c r="AI160" i="2"/>
  <c r="A160" i="8" s="1"/>
  <c r="AI184" i="2"/>
  <c r="A184" i="8" s="1"/>
  <c r="AI41" i="2"/>
  <c r="A41" i="8" s="1"/>
  <c r="AI65" i="2"/>
  <c r="A65" i="8" s="1"/>
  <c r="AI89" i="2"/>
  <c r="A89" i="8" s="1"/>
  <c r="AI113" i="2"/>
  <c r="A113" i="8" s="1"/>
  <c r="AI137" i="2"/>
  <c r="A137" i="8" s="1"/>
  <c r="AI161" i="2"/>
  <c r="A161" i="8" s="1"/>
  <c r="AI185" i="2"/>
  <c r="A185" i="8" s="1"/>
  <c r="AI42" i="2"/>
  <c r="A42" i="8" s="1"/>
  <c r="AI66" i="2"/>
  <c r="A66" i="8" s="1"/>
  <c r="AI90" i="2"/>
  <c r="A90" i="8" s="1"/>
  <c r="AI114" i="2"/>
  <c r="A114" i="8" s="1"/>
  <c r="AI138" i="2"/>
  <c r="A138" i="8" s="1"/>
  <c r="AI162" i="2"/>
  <c r="A162" i="8" s="1"/>
  <c r="AI186" i="2"/>
  <c r="A186" i="8" s="1"/>
  <c r="AI43" i="2"/>
  <c r="A43" i="8" s="1"/>
  <c r="AI44" i="2"/>
  <c r="A44" i="8" s="1"/>
  <c r="AI45" i="2"/>
  <c r="A45" i="8" s="1"/>
  <c r="AI47" i="2"/>
  <c r="A47" i="8" s="1"/>
  <c r="AI71" i="2"/>
  <c r="A71" i="8" s="1"/>
  <c r="AI95" i="2"/>
  <c r="A95" i="8" s="1"/>
  <c r="AI119" i="2"/>
  <c r="A119" i="8" s="1"/>
  <c r="AI143" i="2"/>
  <c r="A143" i="8" s="1"/>
  <c r="AI167" i="2"/>
  <c r="A167" i="8" s="1"/>
  <c r="AI191" i="2"/>
  <c r="A191" i="8" s="1"/>
  <c r="AI203" i="2"/>
  <c r="A203" i="8" s="1"/>
  <c r="AI80" i="2"/>
  <c r="A80" i="8" s="1"/>
  <c r="AI128" i="2"/>
  <c r="A128" i="8" s="1"/>
  <c r="AI176" i="2"/>
  <c r="A176" i="8" s="1"/>
  <c r="AI222" i="2"/>
  <c r="A222" i="8" s="1"/>
  <c r="AI251" i="2"/>
  <c r="A251" i="8" s="1"/>
  <c r="AI282" i="2"/>
  <c r="A282" i="8" s="1"/>
  <c r="AI311" i="2"/>
  <c r="A311" i="8" s="1"/>
  <c r="AI343" i="2"/>
  <c r="A343" i="8" s="1"/>
  <c r="AI372" i="2"/>
  <c r="A372" i="8" s="1"/>
  <c r="AJ46" i="2"/>
  <c r="R46" i="8" s="1"/>
  <c r="AJ73" i="2"/>
  <c r="R73" i="8" s="1"/>
  <c r="AJ97" i="2"/>
  <c r="R97" i="8" s="1"/>
  <c r="AJ121" i="2"/>
  <c r="R121" i="8" s="1"/>
  <c r="AJ145" i="2"/>
  <c r="R145" i="8" s="1"/>
  <c r="AJ169" i="2"/>
  <c r="R169" i="8" s="1"/>
  <c r="AJ193" i="2"/>
  <c r="R193" i="8" s="1"/>
  <c r="AJ205" i="2"/>
  <c r="R205" i="8" s="1"/>
  <c r="AJ229" i="2"/>
  <c r="R229" i="8" s="1"/>
  <c r="AJ253" i="2"/>
  <c r="R253" i="8" s="1"/>
  <c r="AJ277" i="2"/>
  <c r="R277" i="8" s="1"/>
  <c r="AJ301" i="2"/>
  <c r="R301" i="8" s="1"/>
  <c r="AJ325" i="2"/>
  <c r="R325" i="8" s="1"/>
  <c r="AJ349" i="2"/>
  <c r="R349" i="8" s="1"/>
  <c r="AJ373" i="2"/>
  <c r="R373" i="8" s="1"/>
  <c r="AI81" i="2"/>
  <c r="A81" i="8" s="1"/>
  <c r="AI129" i="2"/>
  <c r="A129" i="8" s="1"/>
  <c r="AI177" i="2"/>
  <c r="A177" i="8" s="1"/>
  <c r="AI223" i="2"/>
  <c r="A223" i="8" s="1"/>
  <c r="AI252" i="2"/>
  <c r="A252" i="8" s="1"/>
  <c r="AI283" i="2"/>
  <c r="A283" i="8" s="1"/>
  <c r="AI312" i="2"/>
  <c r="A312" i="8" s="1"/>
  <c r="AI344" i="2"/>
  <c r="A344" i="8" s="1"/>
  <c r="AI373" i="2"/>
  <c r="A373" i="8" s="1"/>
  <c r="AJ47" i="2"/>
  <c r="R47" i="8" s="1"/>
  <c r="AJ74" i="2"/>
  <c r="R74" i="8" s="1"/>
  <c r="AJ98" i="2"/>
  <c r="R98" i="8" s="1"/>
  <c r="AJ122" i="2"/>
  <c r="R122" i="8" s="1"/>
  <c r="AJ146" i="2"/>
  <c r="R146" i="8" s="1"/>
  <c r="AJ170" i="2"/>
  <c r="R170" i="8" s="1"/>
  <c r="AJ194" i="2"/>
  <c r="R194" i="8" s="1"/>
  <c r="AJ206" i="2"/>
  <c r="R206" i="8" s="1"/>
  <c r="AJ230" i="2"/>
  <c r="R230" i="8" s="1"/>
  <c r="AJ254" i="2"/>
  <c r="R254" i="8" s="1"/>
  <c r="AJ278" i="2"/>
  <c r="R278" i="8" s="1"/>
  <c r="AJ302" i="2"/>
  <c r="R302" i="8" s="1"/>
  <c r="AJ326" i="2"/>
  <c r="R326" i="8" s="1"/>
  <c r="AJ350" i="2"/>
  <c r="R350" i="8" s="1"/>
  <c r="AJ374" i="2"/>
  <c r="R374" i="8" s="1"/>
  <c r="AI82" i="2"/>
  <c r="A82" i="8" s="1"/>
  <c r="AI130" i="2"/>
  <c r="A130" i="8" s="1"/>
  <c r="AI178" i="2"/>
  <c r="A178" i="8" s="1"/>
  <c r="AI224" i="2"/>
  <c r="A224" i="8" s="1"/>
  <c r="AI253" i="2"/>
  <c r="A253" i="8" s="1"/>
  <c r="AI284" i="2"/>
  <c r="A284" i="8" s="1"/>
  <c r="AI316" i="2"/>
  <c r="A316" i="8" s="1"/>
  <c r="AI345" i="2"/>
  <c r="A345" i="8" s="1"/>
  <c r="AI376" i="2"/>
  <c r="A376" i="8" s="1"/>
  <c r="AJ48" i="2"/>
  <c r="R48" i="8" s="1"/>
  <c r="AJ75" i="2"/>
  <c r="R75" i="8" s="1"/>
  <c r="AJ99" i="2"/>
  <c r="R99" i="8" s="1"/>
  <c r="AJ123" i="2"/>
  <c r="R123" i="8" s="1"/>
  <c r="AJ147" i="2"/>
  <c r="R147" i="8" s="1"/>
  <c r="AJ171" i="2"/>
  <c r="R171" i="8" s="1"/>
  <c r="AJ207" i="2"/>
  <c r="R207" i="8" s="1"/>
  <c r="AJ231" i="2"/>
  <c r="R231" i="8" s="1"/>
  <c r="AJ255" i="2"/>
  <c r="R255" i="8" s="1"/>
  <c r="AJ279" i="2"/>
  <c r="R279" i="8" s="1"/>
  <c r="AJ303" i="2"/>
  <c r="R303" i="8" s="1"/>
  <c r="AJ327" i="2"/>
  <c r="R327" i="8" s="1"/>
  <c r="AJ351" i="2"/>
  <c r="R351" i="8" s="1"/>
  <c r="AJ375" i="2"/>
  <c r="R375" i="8" s="1"/>
  <c r="AI83" i="2"/>
  <c r="A83" i="8" s="1"/>
  <c r="AI131" i="2"/>
  <c r="A131" i="8" s="1"/>
  <c r="AI179" i="2"/>
  <c r="A179" i="8" s="1"/>
  <c r="AI225" i="2"/>
  <c r="A225" i="8" s="1"/>
  <c r="AI256" i="2"/>
  <c r="A256" i="8" s="1"/>
  <c r="AI285" i="2"/>
  <c r="A285" i="8" s="1"/>
  <c r="AI317" i="2"/>
  <c r="A317" i="8" s="1"/>
  <c r="AI346" i="2"/>
  <c r="A346" i="8" s="1"/>
  <c r="AI377" i="2"/>
  <c r="A377" i="8" s="1"/>
  <c r="AJ52" i="2"/>
  <c r="R52" i="8" s="1"/>
  <c r="AJ76" i="2"/>
  <c r="R76" i="8" s="1"/>
  <c r="AJ100" i="2"/>
  <c r="R100" i="8" s="1"/>
  <c r="AJ124" i="2"/>
  <c r="R124" i="8" s="1"/>
  <c r="AJ148" i="2"/>
  <c r="R148" i="8" s="1"/>
  <c r="AJ172" i="2"/>
  <c r="R172" i="8" s="1"/>
  <c r="AJ208" i="2"/>
  <c r="R208" i="8" s="1"/>
  <c r="AJ232" i="2"/>
  <c r="R232" i="8" s="1"/>
  <c r="AJ256" i="2"/>
  <c r="R256" i="8" s="1"/>
  <c r="AJ280" i="2"/>
  <c r="R280" i="8" s="1"/>
  <c r="AJ304" i="2"/>
  <c r="R304" i="8" s="1"/>
  <c r="AJ328" i="2"/>
  <c r="R328" i="8" s="1"/>
  <c r="AJ352" i="2"/>
  <c r="R352" i="8" s="1"/>
  <c r="AJ376" i="2"/>
  <c r="R376" i="8" s="1"/>
  <c r="AI84" i="2"/>
  <c r="A84" i="8" s="1"/>
  <c r="AI132" i="2"/>
  <c r="A132" i="8" s="1"/>
  <c r="AI180" i="2"/>
  <c r="A180" i="8" s="1"/>
  <c r="AI196" i="2"/>
  <c r="A196" i="8" s="1"/>
  <c r="AI226" i="2"/>
  <c r="A226" i="8" s="1"/>
  <c r="AI257" i="2"/>
  <c r="A257" i="8" s="1"/>
  <c r="AI286" i="2"/>
  <c r="A286" i="8" s="1"/>
  <c r="AI318" i="2"/>
  <c r="A318" i="8" s="1"/>
  <c r="AI347" i="2"/>
  <c r="A347" i="8" s="1"/>
  <c r="AI378" i="2"/>
  <c r="A378" i="8" s="1"/>
  <c r="AJ53" i="2"/>
  <c r="R53" i="8" s="1"/>
  <c r="AJ77" i="2"/>
  <c r="R77" i="8" s="1"/>
  <c r="AJ101" i="2"/>
  <c r="R101" i="8" s="1"/>
  <c r="AJ125" i="2"/>
  <c r="R125" i="8" s="1"/>
  <c r="AJ149" i="2"/>
  <c r="R149" i="8" s="1"/>
  <c r="AJ173" i="2"/>
  <c r="R173" i="8" s="1"/>
  <c r="AJ209" i="2"/>
  <c r="R209" i="8" s="1"/>
  <c r="AJ233" i="2"/>
  <c r="R233" i="8" s="1"/>
  <c r="AJ257" i="2"/>
  <c r="R257" i="8" s="1"/>
  <c r="AJ281" i="2"/>
  <c r="R281" i="8" s="1"/>
  <c r="AJ305" i="2"/>
  <c r="R305" i="8" s="1"/>
  <c r="AJ329" i="2"/>
  <c r="R329" i="8" s="1"/>
  <c r="AJ353" i="2"/>
  <c r="R353" i="8" s="1"/>
  <c r="AJ377" i="2"/>
  <c r="R377" i="8" s="1"/>
  <c r="AI91" i="2"/>
  <c r="A91" i="8" s="1"/>
  <c r="AI139" i="2"/>
  <c r="A139" i="8" s="1"/>
  <c r="AI187" i="2"/>
  <c r="A187" i="8" s="1"/>
  <c r="AI197" i="2"/>
  <c r="A197" i="8" s="1"/>
  <c r="AI227" i="2"/>
  <c r="A227" i="8" s="1"/>
  <c r="AI258" i="2"/>
  <c r="A258" i="8" s="1"/>
  <c r="AI287" i="2"/>
  <c r="A287" i="8" s="1"/>
  <c r="AI319" i="2"/>
  <c r="A319" i="8" s="1"/>
  <c r="AI348" i="2"/>
  <c r="A348" i="8" s="1"/>
  <c r="AI379" i="2"/>
  <c r="A379" i="8" s="1"/>
  <c r="AJ54" i="2"/>
  <c r="R54" i="8" s="1"/>
  <c r="AJ78" i="2"/>
  <c r="R78" i="8" s="1"/>
  <c r="AJ102" i="2"/>
  <c r="R102" i="8" s="1"/>
  <c r="AJ126" i="2"/>
  <c r="R126" i="8" s="1"/>
  <c r="AJ150" i="2"/>
  <c r="R150" i="8" s="1"/>
  <c r="AJ174" i="2"/>
  <c r="R174" i="8" s="1"/>
  <c r="AJ210" i="2"/>
  <c r="R210" i="8" s="1"/>
  <c r="AJ234" i="2"/>
  <c r="R234" i="8" s="1"/>
  <c r="AJ258" i="2"/>
  <c r="R258" i="8" s="1"/>
  <c r="AJ282" i="2"/>
  <c r="R282" i="8" s="1"/>
  <c r="AJ306" i="2"/>
  <c r="R306" i="8" s="1"/>
  <c r="AJ330" i="2"/>
  <c r="R330" i="8" s="1"/>
  <c r="AJ354" i="2"/>
  <c r="R354" i="8" s="1"/>
  <c r="AJ378" i="2"/>
  <c r="R378" i="8" s="1"/>
  <c r="AI92" i="2"/>
  <c r="A92" i="8" s="1"/>
  <c r="AI140" i="2"/>
  <c r="A140" i="8" s="1"/>
  <c r="AI188" i="2"/>
  <c r="A188" i="8" s="1"/>
  <c r="AI198" i="2"/>
  <c r="A198" i="8" s="1"/>
  <c r="AI228" i="2"/>
  <c r="A228" i="8" s="1"/>
  <c r="AI259" i="2"/>
  <c r="A259" i="8" s="1"/>
  <c r="AI288" i="2"/>
  <c r="A288" i="8" s="1"/>
  <c r="AI320" i="2"/>
  <c r="A320" i="8" s="1"/>
  <c r="AI349" i="2"/>
  <c r="A349" i="8" s="1"/>
  <c r="AI380" i="2"/>
  <c r="A380" i="8" s="1"/>
  <c r="AJ55" i="2"/>
  <c r="R55" i="8" s="1"/>
  <c r="AJ79" i="2"/>
  <c r="R79" i="8" s="1"/>
  <c r="AJ103" i="2"/>
  <c r="R103" i="8" s="1"/>
  <c r="AJ127" i="2"/>
  <c r="R127" i="8" s="1"/>
  <c r="AJ151" i="2"/>
  <c r="R151" i="8" s="1"/>
  <c r="AJ175" i="2"/>
  <c r="R175" i="8" s="1"/>
  <c r="AJ211" i="2"/>
  <c r="R211" i="8" s="1"/>
  <c r="AJ235" i="2"/>
  <c r="R235" i="8" s="1"/>
  <c r="AJ259" i="2"/>
  <c r="R259" i="8" s="1"/>
  <c r="AJ283" i="2"/>
  <c r="R283" i="8" s="1"/>
  <c r="AJ307" i="2"/>
  <c r="R307" i="8" s="1"/>
  <c r="AJ331" i="2"/>
  <c r="R331" i="8" s="1"/>
  <c r="AJ355" i="2"/>
  <c r="R355" i="8" s="1"/>
  <c r="AJ379" i="2"/>
  <c r="R379" i="8" s="1"/>
  <c r="AI93" i="2"/>
  <c r="A93" i="8" s="1"/>
  <c r="AI141" i="2"/>
  <c r="A141" i="8" s="1"/>
  <c r="AI189" i="2"/>
  <c r="A189" i="8" s="1"/>
  <c r="AI199" i="2"/>
  <c r="A199" i="8" s="1"/>
  <c r="AI229" i="2"/>
  <c r="A229" i="8" s="1"/>
  <c r="AI260" i="2"/>
  <c r="A260" i="8" s="1"/>
  <c r="AI292" i="2"/>
  <c r="A292" i="8" s="1"/>
  <c r="AI321" i="2"/>
  <c r="A321" i="8" s="1"/>
  <c r="AI352" i="2"/>
  <c r="A352" i="8" s="1"/>
  <c r="AI381" i="2"/>
  <c r="A381" i="8" s="1"/>
  <c r="AJ56" i="2"/>
  <c r="R56" i="8" s="1"/>
  <c r="AJ80" i="2"/>
  <c r="R80" i="8" s="1"/>
  <c r="AJ104" i="2"/>
  <c r="R104" i="8" s="1"/>
  <c r="AJ128" i="2"/>
  <c r="R128" i="8" s="1"/>
  <c r="AJ152" i="2"/>
  <c r="R152" i="8" s="1"/>
  <c r="AJ176" i="2"/>
  <c r="R176" i="8" s="1"/>
  <c r="AJ212" i="2"/>
  <c r="R212" i="8" s="1"/>
  <c r="AJ236" i="2"/>
  <c r="R236" i="8" s="1"/>
  <c r="AJ260" i="2"/>
  <c r="R260" i="8" s="1"/>
  <c r="AJ284" i="2"/>
  <c r="R284" i="8" s="1"/>
  <c r="AJ308" i="2"/>
  <c r="R308" i="8" s="1"/>
  <c r="AJ332" i="2"/>
  <c r="R332" i="8" s="1"/>
  <c r="AJ356" i="2"/>
  <c r="R356" i="8" s="1"/>
  <c r="AJ380" i="2"/>
  <c r="R380" i="8" s="1"/>
  <c r="AI46" i="2"/>
  <c r="A46" i="8" s="1"/>
  <c r="AI94" i="2"/>
  <c r="A94" i="8" s="1"/>
  <c r="AI142" i="2"/>
  <c r="A142" i="8" s="1"/>
  <c r="AI190" i="2"/>
  <c r="A190" i="8" s="1"/>
  <c r="AI200" i="2"/>
  <c r="A200" i="8" s="1"/>
  <c r="AI232" i="2"/>
  <c r="A232" i="8" s="1"/>
  <c r="AI261" i="2"/>
  <c r="A261" i="8" s="1"/>
  <c r="AI293" i="2"/>
  <c r="A293" i="8" s="1"/>
  <c r="AI322" i="2"/>
  <c r="A322" i="8" s="1"/>
  <c r="AI353" i="2"/>
  <c r="A353" i="8" s="1"/>
  <c r="AI382" i="2"/>
  <c r="A382" i="8" s="1"/>
  <c r="AJ57" i="2"/>
  <c r="R57" i="8" s="1"/>
  <c r="AJ81" i="2"/>
  <c r="R81" i="8" s="1"/>
  <c r="AJ105" i="2"/>
  <c r="R105" i="8" s="1"/>
  <c r="AJ129" i="2"/>
  <c r="R129" i="8" s="1"/>
  <c r="AJ153" i="2"/>
  <c r="R153" i="8" s="1"/>
  <c r="AJ177" i="2"/>
  <c r="R177" i="8" s="1"/>
  <c r="AJ213" i="2"/>
  <c r="R213" i="8" s="1"/>
  <c r="AJ237" i="2"/>
  <c r="R237" i="8" s="1"/>
  <c r="AJ261" i="2"/>
  <c r="R261" i="8" s="1"/>
  <c r="AJ285" i="2"/>
  <c r="R285" i="8" s="1"/>
  <c r="AJ309" i="2"/>
  <c r="R309" i="8" s="1"/>
  <c r="AJ333" i="2"/>
  <c r="R333" i="8" s="1"/>
  <c r="AJ357" i="2"/>
  <c r="R357" i="8" s="1"/>
  <c r="AJ381" i="2"/>
  <c r="R381" i="8" s="1"/>
  <c r="AI48" i="2"/>
  <c r="A48" i="8" s="1"/>
  <c r="AI96" i="2"/>
  <c r="A96" i="8" s="1"/>
  <c r="AI144" i="2"/>
  <c r="A144" i="8" s="1"/>
  <c r="AI192" i="2"/>
  <c r="A192" i="8" s="1"/>
  <c r="AI201" i="2"/>
  <c r="A201" i="8" s="1"/>
  <c r="AI233" i="2"/>
  <c r="A233" i="8" s="1"/>
  <c r="AI262" i="2"/>
  <c r="A262" i="8" s="1"/>
  <c r="AI294" i="2"/>
  <c r="A294" i="8" s="1"/>
  <c r="AI323" i="2"/>
  <c r="A323" i="8" s="1"/>
  <c r="AI354" i="2"/>
  <c r="A354" i="8" s="1"/>
  <c r="AI383" i="2"/>
  <c r="A383" i="8" s="1"/>
  <c r="AJ58" i="2"/>
  <c r="R58" i="8" s="1"/>
  <c r="AJ82" i="2"/>
  <c r="R82" i="8" s="1"/>
  <c r="AJ106" i="2"/>
  <c r="R106" i="8" s="1"/>
  <c r="AJ130" i="2"/>
  <c r="R130" i="8" s="1"/>
  <c r="AJ154" i="2"/>
  <c r="R154" i="8" s="1"/>
  <c r="AJ178" i="2"/>
  <c r="R178" i="8" s="1"/>
  <c r="AJ214" i="2"/>
  <c r="R214" i="8" s="1"/>
  <c r="AJ238" i="2"/>
  <c r="R238" i="8" s="1"/>
  <c r="AJ262" i="2"/>
  <c r="R262" i="8" s="1"/>
  <c r="AJ286" i="2"/>
  <c r="R286" i="8" s="1"/>
  <c r="AJ310" i="2"/>
  <c r="R310" i="8" s="1"/>
  <c r="AJ334" i="2"/>
  <c r="R334" i="8" s="1"/>
  <c r="AJ358" i="2"/>
  <c r="R358" i="8" s="1"/>
  <c r="AJ382" i="2"/>
  <c r="R382" i="8" s="1"/>
  <c r="AI49" i="2"/>
  <c r="A49" i="8" s="1"/>
  <c r="AI97" i="2"/>
  <c r="A97" i="8" s="1"/>
  <c r="AI145" i="2"/>
  <c r="A145" i="8" s="1"/>
  <c r="AI193" i="2"/>
  <c r="A193" i="8" s="1"/>
  <c r="AI202" i="2"/>
  <c r="A202" i="8" s="1"/>
  <c r="AI234" i="2"/>
  <c r="A234" i="8" s="1"/>
  <c r="AI263" i="2"/>
  <c r="A263" i="8" s="1"/>
  <c r="AI295" i="2"/>
  <c r="A295" i="8" s="1"/>
  <c r="AI324" i="2"/>
  <c r="A324" i="8" s="1"/>
  <c r="AI355" i="2"/>
  <c r="A355" i="8" s="1"/>
  <c r="AI384" i="2"/>
  <c r="A384" i="8" s="1"/>
  <c r="AJ59" i="2"/>
  <c r="R59" i="8" s="1"/>
  <c r="AJ83" i="2"/>
  <c r="R83" i="8" s="1"/>
  <c r="AJ107" i="2"/>
  <c r="R107" i="8" s="1"/>
  <c r="AJ131" i="2"/>
  <c r="R131" i="8" s="1"/>
  <c r="AJ155" i="2"/>
  <c r="R155" i="8" s="1"/>
  <c r="AJ179" i="2"/>
  <c r="R179" i="8" s="1"/>
  <c r="AJ215" i="2"/>
  <c r="R215" i="8" s="1"/>
  <c r="AJ239" i="2"/>
  <c r="R239" i="8" s="1"/>
  <c r="AJ263" i="2"/>
  <c r="R263" i="8" s="1"/>
  <c r="AJ287" i="2"/>
  <c r="R287" i="8" s="1"/>
  <c r="AJ311" i="2"/>
  <c r="R311" i="8" s="1"/>
  <c r="AJ335" i="2"/>
  <c r="R335" i="8" s="1"/>
  <c r="AJ359" i="2"/>
  <c r="R359" i="8" s="1"/>
  <c r="AJ383" i="2"/>
  <c r="R383" i="8" s="1"/>
  <c r="AI55" i="2"/>
  <c r="A55" i="8" s="1"/>
  <c r="AI103" i="2"/>
  <c r="A103" i="8" s="1"/>
  <c r="AI151" i="2"/>
  <c r="A151" i="8" s="1"/>
  <c r="AI204" i="2"/>
  <c r="A204" i="8" s="1"/>
  <c r="AI235" i="2"/>
  <c r="A235" i="8" s="1"/>
  <c r="AI264" i="2"/>
  <c r="A264" i="8" s="1"/>
  <c r="AI296" i="2"/>
  <c r="A296" i="8" s="1"/>
  <c r="AI325" i="2"/>
  <c r="A325" i="8" s="1"/>
  <c r="AI356" i="2"/>
  <c r="A356" i="8" s="1"/>
  <c r="AJ60" i="2"/>
  <c r="R60" i="8" s="1"/>
  <c r="AJ84" i="2"/>
  <c r="R84" i="8" s="1"/>
  <c r="AJ108" i="2"/>
  <c r="R108" i="8" s="1"/>
  <c r="AJ132" i="2"/>
  <c r="R132" i="8" s="1"/>
  <c r="AJ156" i="2"/>
  <c r="R156" i="8" s="1"/>
  <c r="AJ180" i="2"/>
  <c r="R180" i="8" s="1"/>
  <c r="AJ216" i="2"/>
  <c r="R216" i="8" s="1"/>
  <c r="AJ240" i="2"/>
  <c r="R240" i="8" s="1"/>
  <c r="AJ264" i="2"/>
  <c r="R264" i="8" s="1"/>
  <c r="AJ288" i="2"/>
  <c r="R288" i="8" s="1"/>
  <c r="AJ312" i="2"/>
  <c r="R312" i="8" s="1"/>
  <c r="AJ336" i="2"/>
  <c r="R336" i="8" s="1"/>
  <c r="AJ360" i="2"/>
  <c r="R360" i="8" s="1"/>
  <c r="AJ384" i="2"/>
  <c r="R384" i="8" s="1"/>
  <c r="AI56" i="2"/>
  <c r="A56" i="8" s="1"/>
  <c r="AI104" i="2"/>
  <c r="A104" i="8" s="1"/>
  <c r="AI152" i="2"/>
  <c r="A152" i="8" s="1"/>
  <c r="AI205" i="2"/>
  <c r="A205" i="8" s="1"/>
  <c r="AI236" i="2"/>
  <c r="A236" i="8" s="1"/>
  <c r="AI268" i="2"/>
  <c r="A268" i="8" s="1"/>
  <c r="AI297" i="2"/>
  <c r="A297" i="8" s="1"/>
  <c r="AI328" i="2"/>
  <c r="A328" i="8" s="1"/>
  <c r="AI357" i="2"/>
  <c r="A357" i="8" s="1"/>
  <c r="AJ61" i="2"/>
  <c r="R61" i="8" s="1"/>
  <c r="AJ85" i="2"/>
  <c r="R85" i="8" s="1"/>
  <c r="AJ109" i="2"/>
  <c r="R109" i="8" s="1"/>
  <c r="AJ133" i="2"/>
  <c r="R133" i="8" s="1"/>
  <c r="AJ157" i="2"/>
  <c r="R157" i="8" s="1"/>
  <c r="AJ181" i="2"/>
  <c r="R181" i="8" s="1"/>
  <c r="AJ217" i="2"/>
  <c r="R217" i="8" s="1"/>
  <c r="AJ241" i="2"/>
  <c r="R241" i="8" s="1"/>
  <c r="AJ265" i="2"/>
  <c r="R265" i="8" s="1"/>
  <c r="AJ289" i="2"/>
  <c r="R289" i="8" s="1"/>
  <c r="AJ313" i="2"/>
  <c r="R313" i="8" s="1"/>
  <c r="AJ337" i="2"/>
  <c r="R337" i="8" s="1"/>
  <c r="AJ361" i="2"/>
  <c r="R361" i="8" s="1"/>
  <c r="AI57" i="2"/>
  <c r="A57" i="8" s="1"/>
  <c r="AI105" i="2"/>
  <c r="A105" i="8" s="1"/>
  <c r="AI153" i="2"/>
  <c r="A153" i="8" s="1"/>
  <c r="AI208" i="2"/>
  <c r="A208" i="8" s="1"/>
  <c r="AI237" i="2"/>
  <c r="A237" i="8" s="1"/>
  <c r="AI269" i="2"/>
  <c r="A269" i="8" s="1"/>
  <c r="AI298" i="2"/>
  <c r="A298" i="8" s="1"/>
  <c r="AI329" i="2"/>
  <c r="A329" i="8" s="1"/>
  <c r="AI358" i="2"/>
  <c r="A358" i="8" s="1"/>
  <c r="AJ62" i="2"/>
  <c r="R62" i="8" s="1"/>
  <c r="AJ86" i="2"/>
  <c r="R86" i="8" s="1"/>
  <c r="AJ110" i="2"/>
  <c r="R110" i="8" s="1"/>
  <c r="AJ134" i="2"/>
  <c r="R134" i="8" s="1"/>
  <c r="AJ158" i="2"/>
  <c r="R158" i="8" s="1"/>
  <c r="AJ182" i="2"/>
  <c r="R182" i="8" s="1"/>
  <c r="AJ218" i="2"/>
  <c r="R218" i="8" s="1"/>
  <c r="AJ242" i="2"/>
  <c r="R242" i="8" s="1"/>
  <c r="AJ266" i="2"/>
  <c r="R266" i="8" s="1"/>
  <c r="AJ290" i="2"/>
  <c r="R290" i="8" s="1"/>
  <c r="AJ314" i="2"/>
  <c r="R314" i="8" s="1"/>
  <c r="AJ338" i="2"/>
  <c r="R338" i="8" s="1"/>
  <c r="AJ362" i="2"/>
  <c r="R362" i="8" s="1"/>
  <c r="AI58" i="2"/>
  <c r="A58" i="8" s="1"/>
  <c r="AI106" i="2"/>
  <c r="A106" i="8" s="1"/>
  <c r="AI154" i="2"/>
  <c r="A154" i="8" s="1"/>
  <c r="AI209" i="2"/>
  <c r="A209" i="8" s="1"/>
  <c r="AI238" i="2"/>
  <c r="A238" i="8" s="1"/>
  <c r="AI270" i="2"/>
  <c r="A270" i="8" s="1"/>
  <c r="AI299" i="2"/>
  <c r="A299" i="8" s="1"/>
  <c r="AI330" i="2"/>
  <c r="A330" i="8" s="1"/>
  <c r="AI359" i="2"/>
  <c r="A359" i="8" s="1"/>
  <c r="AJ63" i="2"/>
  <c r="R63" i="8" s="1"/>
  <c r="AJ87" i="2"/>
  <c r="R87" i="8" s="1"/>
  <c r="AJ111" i="2"/>
  <c r="R111" i="8" s="1"/>
  <c r="AJ135" i="2"/>
  <c r="R135" i="8" s="1"/>
  <c r="AJ159" i="2"/>
  <c r="R159" i="8" s="1"/>
  <c r="AJ183" i="2"/>
  <c r="R183" i="8" s="1"/>
  <c r="AJ195" i="2"/>
  <c r="R195" i="8" s="1"/>
  <c r="AJ219" i="2"/>
  <c r="R219" i="8" s="1"/>
  <c r="AJ243" i="2"/>
  <c r="R243" i="8" s="1"/>
  <c r="AJ267" i="2"/>
  <c r="R267" i="8" s="1"/>
  <c r="AJ291" i="2"/>
  <c r="R291" i="8" s="1"/>
  <c r="AJ315" i="2"/>
  <c r="R315" i="8" s="1"/>
  <c r="AJ339" i="2"/>
  <c r="R339" i="8" s="1"/>
  <c r="AJ363" i="2"/>
  <c r="R363" i="8" s="1"/>
  <c r="AI59" i="2"/>
  <c r="A59" i="8" s="1"/>
  <c r="AI107" i="2"/>
  <c r="A107" i="8" s="1"/>
  <c r="AI155" i="2"/>
  <c r="A155" i="8" s="1"/>
  <c r="AI210" i="2"/>
  <c r="A210" i="8" s="1"/>
  <c r="AI239" i="2"/>
  <c r="A239" i="8" s="1"/>
  <c r="AI271" i="2"/>
  <c r="A271" i="8" s="1"/>
  <c r="AI300" i="2"/>
  <c r="A300" i="8" s="1"/>
  <c r="AI331" i="2"/>
  <c r="A331" i="8" s="1"/>
  <c r="AI360" i="2"/>
  <c r="A360" i="8" s="1"/>
  <c r="AJ64" i="2"/>
  <c r="R64" i="8" s="1"/>
  <c r="AJ88" i="2"/>
  <c r="R88" i="8" s="1"/>
  <c r="AI60" i="2"/>
  <c r="A60" i="8" s="1"/>
  <c r="AI108" i="2"/>
  <c r="A108" i="8" s="1"/>
  <c r="AI156" i="2"/>
  <c r="A156" i="8" s="1"/>
  <c r="AI211" i="2"/>
  <c r="A211" i="8" s="1"/>
  <c r="AI240" i="2"/>
  <c r="A240" i="8" s="1"/>
  <c r="AI272" i="2"/>
  <c r="A272" i="8" s="1"/>
  <c r="AI301" i="2"/>
  <c r="A301" i="8" s="1"/>
  <c r="AI332" i="2"/>
  <c r="A332" i="8" s="1"/>
  <c r="AI364" i="2"/>
  <c r="A364" i="8" s="1"/>
  <c r="AJ65" i="2"/>
  <c r="R65" i="8" s="1"/>
  <c r="AJ89" i="2"/>
  <c r="R89" i="8" s="1"/>
  <c r="AJ113" i="2"/>
  <c r="R113" i="8" s="1"/>
  <c r="AJ137" i="2"/>
  <c r="R137" i="8" s="1"/>
  <c r="AJ161" i="2"/>
  <c r="R161" i="8" s="1"/>
  <c r="AJ185" i="2"/>
  <c r="R185" i="8" s="1"/>
  <c r="AJ197" i="2"/>
  <c r="R197" i="8" s="1"/>
  <c r="AJ221" i="2"/>
  <c r="R221" i="8" s="1"/>
  <c r="AJ245" i="2"/>
  <c r="R245" i="8" s="1"/>
  <c r="AJ269" i="2"/>
  <c r="R269" i="8" s="1"/>
  <c r="AJ293" i="2"/>
  <c r="R293" i="8" s="1"/>
  <c r="AJ317" i="2"/>
  <c r="R317" i="8" s="1"/>
  <c r="AJ341" i="2"/>
  <c r="R341" i="8" s="1"/>
  <c r="AJ365" i="2"/>
  <c r="R365" i="8" s="1"/>
  <c r="AI67" i="2"/>
  <c r="A67" i="8" s="1"/>
  <c r="AI115" i="2"/>
  <c r="A115" i="8" s="1"/>
  <c r="AI163" i="2"/>
  <c r="A163" i="8" s="1"/>
  <c r="AI212" i="2"/>
  <c r="A212" i="8" s="1"/>
  <c r="AI244" i="2"/>
  <c r="A244" i="8" s="1"/>
  <c r="AI273" i="2"/>
  <c r="A273" i="8" s="1"/>
  <c r="AI304" i="2"/>
  <c r="A304" i="8" s="1"/>
  <c r="AI333" i="2"/>
  <c r="A333" i="8" s="1"/>
  <c r="AI365" i="2"/>
  <c r="A365" i="8" s="1"/>
  <c r="AJ37" i="2"/>
  <c r="R37" i="8" s="1"/>
  <c r="AJ66" i="2"/>
  <c r="R66" i="8" s="1"/>
  <c r="AJ90" i="2"/>
  <c r="R90" i="8" s="1"/>
  <c r="AJ114" i="2"/>
  <c r="R114" i="8" s="1"/>
  <c r="AJ138" i="2"/>
  <c r="R138" i="8" s="1"/>
  <c r="AJ162" i="2"/>
  <c r="R162" i="8" s="1"/>
  <c r="AJ186" i="2"/>
  <c r="R186" i="8" s="1"/>
  <c r="AJ198" i="2"/>
  <c r="R198" i="8" s="1"/>
  <c r="AJ222" i="2"/>
  <c r="R222" i="8" s="1"/>
  <c r="AJ246" i="2"/>
  <c r="R246" i="8" s="1"/>
  <c r="AJ270" i="2"/>
  <c r="R270" i="8" s="1"/>
  <c r="AJ294" i="2"/>
  <c r="R294" i="8" s="1"/>
  <c r="AJ318" i="2"/>
  <c r="R318" i="8" s="1"/>
  <c r="AJ342" i="2"/>
  <c r="R342" i="8" s="1"/>
  <c r="AJ366" i="2"/>
  <c r="R366" i="8" s="1"/>
  <c r="AI68" i="2"/>
  <c r="A68" i="8" s="1"/>
  <c r="AI116" i="2"/>
  <c r="A116" i="8" s="1"/>
  <c r="AI164" i="2"/>
  <c r="A164" i="8" s="1"/>
  <c r="AI213" i="2"/>
  <c r="A213" i="8" s="1"/>
  <c r="AI245" i="2"/>
  <c r="A245" i="8" s="1"/>
  <c r="AI274" i="2"/>
  <c r="A274" i="8" s="1"/>
  <c r="AI305" i="2"/>
  <c r="A305" i="8" s="1"/>
  <c r="AI334" i="2"/>
  <c r="A334" i="8" s="1"/>
  <c r="AI366" i="2"/>
  <c r="A366" i="8" s="1"/>
  <c r="AJ40" i="2"/>
  <c r="R40" i="8" s="1"/>
  <c r="AJ67" i="2"/>
  <c r="R67" i="8" s="1"/>
  <c r="AJ91" i="2"/>
  <c r="R91" i="8" s="1"/>
  <c r="AJ115" i="2"/>
  <c r="R115" i="8" s="1"/>
  <c r="AJ139" i="2"/>
  <c r="R139" i="8" s="1"/>
  <c r="AJ163" i="2"/>
  <c r="R163" i="8" s="1"/>
  <c r="AJ187" i="2"/>
  <c r="R187" i="8" s="1"/>
  <c r="AJ199" i="2"/>
  <c r="R199" i="8" s="1"/>
  <c r="AJ223" i="2"/>
  <c r="R223" i="8" s="1"/>
  <c r="AJ247" i="2"/>
  <c r="R247" i="8" s="1"/>
  <c r="AJ271" i="2"/>
  <c r="R271" i="8" s="1"/>
  <c r="AJ295" i="2"/>
  <c r="R295" i="8" s="1"/>
  <c r="AJ319" i="2"/>
  <c r="R319" i="8" s="1"/>
  <c r="AJ343" i="2"/>
  <c r="R343" i="8" s="1"/>
  <c r="AJ367" i="2"/>
  <c r="R367" i="8" s="1"/>
  <c r="AI69" i="2"/>
  <c r="A69" i="8" s="1"/>
  <c r="AI117" i="2"/>
  <c r="A117" i="8" s="1"/>
  <c r="AI165" i="2"/>
  <c r="A165" i="8" s="1"/>
  <c r="AI214" i="2"/>
  <c r="A214" i="8" s="1"/>
  <c r="AI246" i="2"/>
  <c r="A246" i="8" s="1"/>
  <c r="AI275" i="2"/>
  <c r="A275" i="8" s="1"/>
  <c r="AI306" i="2"/>
  <c r="A306" i="8" s="1"/>
  <c r="AI335" i="2"/>
  <c r="A335" i="8" s="1"/>
  <c r="AI367" i="2"/>
  <c r="A367" i="8" s="1"/>
  <c r="AJ41" i="2"/>
  <c r="R41" i="8" s="1"/>
  <c r="AJ68" i="2"/>
  <c r="R68" i="8" s="1"/>
  <c r="AJ92" i="2"/>
  <c r="R92" i="8" s="1"/>
  <c r="AJ116" i="2"/>
  <c r="R116" i="8" s="1"/>
  <c r="AJ140" i="2"/>
  <c r="R140" i="8" s="1"/>
  <c r="AJ164" i="2"/>
  <c r="R164" i="8" s="1"/>
  <c r="AJ188" i="2"/>
  <c r="R188" i="8" s="1"/>
  <c r="AJ200" i="2"/>
  <c r="R200" i="8" s="1"/>
  <c r="AJ224" i="2"/>
  <c r="R224" i="8" s="1"/>
  <c r="AJ248" i="2"/>
  <c r="R248" i="8" s="1"/>
  <c r="AJ272" i="2"/>
  <c r="R272" i="8" s="1"/>
  <c r="AJ296" i="2"/>
  <c r="R296" i="8" s="1"/>
  <c r="AJ320" i="2"/>
  <c r="R320" i="8" s="1"/>
  <c r="AJ344" i="2"/>
  <c r="R344" i="8" s="1"/>
  <c r="AJ368" i="2"/>
  <c r="R368" i="8" s="1"/>
  <c r="AI70" i="2"/>
  <c r="A70" i="8" s="1"/>
  <c r="AI118" i="2"/>
  <c r="A118" i="8" s="1"/>
  <c r="AI166" i="2"/>
  <c r="A166" i="8" s="1"/>
  <c r="AI215" i="2"/>
  <c r="A215" i="8" s="1"/>
  <c r="AI247" i="2"/>
  <c r="A247" i="8" s="1"/>
  <c r="AI276" i="2"/>
  <c r="A276" i="8" s="1"/>
  <c r="AI307" i="2"/>
  <c r="A307" i="8" s="1"/>
  <c r="AI336" i="2"/>
  <c r="A336" i="8" s="1"/>
  <c r="AI368" i="2"/>
  <c r="A368" i="8" s="1"/>
  <c r="AJ42" i="2"/>
  <c r="R42" i="8" s="1"/>
  <c r="AJ69" i="2"/>
  <c r="R69" i="8" s="1"/>
  <c r="AJ93" i="2"/>
  <c r="R93" i="8" s="1"/>
  <c r="AJ117" i="2"/>
  <c r="R117" i="8" s="1"/>
  <c r="AJ141" i="2"/>
  <c r="R141" i="8" s="1"/>
  <c r="AJ165" i="2"/>
  <c r="R165" i="8" s="1"/>
  <c r="AJ189" i="2"/>
  <c r="R189" i="8" s="1"/>
  <c r="AJ201" i="2"/>
  <c r="R201" i="8" s="1"/>
  <c r="AJ225" i="2"/>
  <c r="R225" i="8" s="1"/>
  <c r="AJ249" i="2"/>
  <c r="R249" i="8" s="1"/>
  <c r="AJ273" i="2"/>
  <c r="R273" i="8" s="1"/>
  <c r="AJ297" i="2"/>
  <c r="R297" i="8" s="1"/>
  <c r="AJ321" i="2"/>
  <c r="R321" i="8" s="1"/>
  <c r="AJ345" i="2"/>
  <c r="R345" i="8" s="1"/>
  <c r="AJ369" i="2"/>
  <c r="R369" i="8" s="1"/>
  <c r="AI72" i="2"/>
  <c r="A72" i="8" s="1"/>
  <c r="AI120" i="2"/>
  <c r="A120" i="8" s="1"/>
  <c r="AI168" i="2"/>
  <c r="A168" i="8" s="1"/>
  <c r="AI216" i="2"/>
  <c r="A216" i="8" s="1"/>
  <c r="AI248" i="2"/>
  <c r="A248" i="8" s="1"/>
  <c r="AI277" i="2"/>
  <c r="A277" i="8" s="1"/>
  <c r="AI308" i="2"/>
  <c r="A308" i="8" s="1"/>
  <c r="AI340" i="2"/>
  <c r="A340" i="8" s="1"/>
  <c r="AI369" i="2"/>
  <c r="A369" i="8" s="1"/>
  <c r="AJ43" i="2"/>
  <c r="R43" i="8" s="1"/>
  <c r="AJ70" i="2"/>
  <c r="R70" i="8" s="1"/>
  <c r="AJ94" i="2"/>
  <c r="R94" i="8" s="1"/>
  <c r="AJ118" i="2"/>
  <c r="R118" i="8" s="1"/>
  <c r="AJ142" i="2"/>
  <c r="R142" i="8" s="1"/>
  <c r="AJ166" i="2"/>
  <c r="R166" i="8" s="1"/>
  <c r="AJ190" i="2"/>
  <c r="R190" i="8" s="1"/>
  <c r="AJ202" i="2"/>
  <c r="R202" i="8" s="1"/>
  <c r="AJ226" i="2"/>
  <c r="R226" i="8" s="1"/>
  <c r="AJ250" i="2"/>
  <c r="R250" i="8" s="1"/>
  <c r="AJ274" i="2"/>
  <c r="R274" i="8" s="1"/>
  <c r="AJ298" i="2"/>
  <c r="R298" i="8" s="1"/>
  <c r="AJ322" i="2"/>
  <c r="R322" i="8" s="1"/>
  <c r="AJ346" i="2"/>
  <c r="R346" i="8" s="1"/>
  <c r="AJ370" i="2"/>
  <c r="R370" i="8" s="1"/>
  <c r="AI73" i="2"/>
  <c r="A73" i="8" s="1"/>
  <c r="AI121" i="2"/>
  <c r="A121" i="8" s="1"/>
  <c r="AI169" i="2"/>
  <c r="A169" i="8" s="1"/>
  <c r="AI220" i="2"/>
  <c r="A220" i="8" s="1"/>
  <c r="AI249" i="2"/>
  <c r="A249" i="8" s="1"/>
  <c r="AI280" i="2"/>
  <c r="A280" i="8" s="1"/>
  <c r="AI309" i="2"/>
  <c r="A309" i="8" s="1"/>
  <c r="AI341" i="2"/>
  <c r="A341" i="8" s="1"/>
  <c r="AI370" i="2"/>
  <c r="A370" i="8" s="1"/>
  <c r="AJ44" i="2"/>
  <c r="R44" i="8" s="1"/>
  <c r="AJ71" i="2"/>
  <c r="R71" i="8" s="1"/>
  <c r="AJ95" i="2"/>
  <c r="R95" i="8" s="1"/>
  <c r="AJ119" i="2"/>
  <c r="R119" i="8" s="1"/>
  <c r="AJ143" i="2"/>
  <c r="R143" i="8" s="1"/>
  <c r="AJ167" i="2"/>
  <c r="R167" i="8" s="1"/>
  <c r="AJ191" i="2"/>
  <c r="R191" i="8" s="1"/>
  <c r="AJ203" i="2"/>
  <c r="R203" i="8" s="1"/>
  <c r="AJ227" i="2"/>
  <c r="R227" i="8" s="1"/>
  <c r="AJ251" i="2"/>
  <c r="R251" i="8" s="1"/>
  <c r="AJ275" i="2"/>
  <c r="R275" i="8" s="1"/>
  <c r="AI79" i="2"/>
  <c r="A79" i="8" s="1"/>
  <c r="AI127" i="2"/>
  <c r="A127" i="8" s="1"/>
  <c r="AI175" i="2"/>
  <c r="A175" i="8" s="1"/>
  <c r="AI221" i="2"/>
  <c r="A221" i="8" s="1"/>
  <c r="AI250" i="2"/>
  <c r="A250" i="8" s="1"/>
  <c r="AI281" i="2"/>
  <c r="A281" i="8" s="1"/>
  <c r="AI310" i="2"/>
  <c r="A310" i="8" s="1"/>
  <c r="AI342" i="2"/>
  <c r="A342" i="8" s="1"/>
  <c r="AI371" i="2"/>
  <c r="A371" i="8" s="1"/>
  <c r="AJ45" i="2"/>
  <c r="R45" i="8" s="1"/>
  <c r="AJ72" i="2"/>
  <c r="R72" i="8" s="1"/>
  <c r="AJ96" i="2"/>
  <c r="R96" i="8" s="1"/>
  <c r="AJ120" i="2"/>
  <c r="R120" i="8" s="1"/>
  <c r="AJ144" i="2"/>
  <c r="R144" i="8" s="1"/>
  <c r="AJ168" i="2"/>
  <c r="R168" i="8" s="1"/>
  <c r="AJ192" i="2"/>
  <c r="R192" i="8" s="1"/>
  <c r="AJ204" i="2"/>
  <c r="R204" i="8" s="1"/>
  <c r="AJ228" i="2"/>
  <c r="R228" i="8" s="1"/>
  <c r="AJ252" i="2"/>
  <c r="R252" i="8" s="1"/>
  <c r="AJ276" i="2"/>
  <c r="R276" i="8" s="1"/>
  <c r="AJ300" i="2"/>
  <c r="R300" i="8" s="1"/>
  <c r="AJ324" i="2"/>
  <c r="R324" i="8" s="1"/>
  <c r="AJ348" i="2"/>
  <c r="R348" i="8" s="1"/>
  <c r="AJ372" i="2"/>
  <c r="R372" i="8" s="1"/>
  <c r="AJ196" i="2"/>
  <c r="R196" i="8" s="1"/>
  <c r="AJ220" i="2"/>
  <c r="R220" i="8" s="1"/>
  <c r="AJ244" i="2"/>
  <c r="R244" i="8" s="1"/>
  <c r="AJ268" i="2"/>
  <c r="R268" i="8" s="1"/>
  <c r="AJ292" i="2"/>
  <c r="R292" i="8" s="1"/>
  <c r="AJ371" i="2"/>
  <c r="R371" i="8" s="1"/>
  <c r="AJ112" i="2"/>
  <c r="R112" i="8" s="1"/>
  <c r="AJ299" i="2"/>
  <c r="R299" i="8" s="1"/>
  <c r="AJ136" i="2"/>
  <c r="R136" i="8" s="1"/>
  <c r="AJ316" i="2"/>
  <c r="R316" i="8" s="1"/>
  <c r="AJ160" i="2"/>
  <c r="R160" i="8" s="1"/>
  <c r="AJ323" i="2"/>
  <c r="R323" i="8" s="1"/>
  <c r="AJ184" i="2"/>
  <c r="R184" i="8" s="1"/>
  <c r="AJ340" i="2"/>
  <c r="R340" i="8" s="1"/>
  <c r="AJ347" i="2"/>
  <c r="R347" i="8" s="1"/>
  <c r="AJ364" i="2"/>
  <c r="R364" i="8" s="1"/>
  <c r="AI33" i="2"/>
  <c r="A33" i="8" s="1"/>
  <c r="AJ33" i="2"/>
  <c r="R33" i="8" s="1"/>
  <c r="AJ34" i="2"/>
  <c r="R34" i="8" s="1"/>
  <c r="AI35" i="2"/>
  <c r="A35" i="8" s="1"/>
  <c r="AJ35" i="2"/>
  <c r="R35" i="8" s="1"/>
  <c r="AI36" i="2"/>
  <c r="A36" i="8" s="1"/>
  <c r="AJ36" i="2"/>
  <c r="R36" i="8" s="1"/>
  <c r="AI34" i="2"/>
  <c r="A34" i="8" s="1"/>
  <c r="AI23" i="2"/>
  <c r="A23" i="8" s="1"/>
  <c r="AJ29" i="2"/>
  <c r="R29" i="8" s="1"/>
  <c r="AI20" i="2"/>
  <c r="A20" i="8" s="1"/>
  <c r="AI32" i="2"/>
  <c r="A32" i="8" s="1"/>
  <c r="AI17" i="2"/>
  <c r="A17" i="8" s="1"/>
  <c r="AI21" i="2"/>
  <c r="A21" i="8" s="1"/>
  <c r="AI25" i="2"/>
  <c r="A25" i="8" s="1"/>
  <c r="AI29" i="2"/>
  <c r="A29" i="8" s="1"/>
  <c r="AJ15" i="2"/>
  <c r="R15" i="8" s="1"/>
  <c r="AJ19" i="2"/>
  <c r="R19" i="8" s="1"/>
  <c r="AJ23" i="2"/>
  <c r="R23" i="8" s="1"/>
  <c r="AJ27" i="2"/>
  <c r="R27" i="8" s="1"/>
  <c r="AJ31" i="2"/>
  <c r="R31" i="8" s="1"/>
  <c r="AI15" i="2"/>
  <c r="A15" i="8" s="1"/>
  <c r="AI27" i="2"/>
  <c r="A27" i="8" s="1"/>
  <c r="AJ17" i="2"/>
  <c r="R17" i="8" s="1"/>
  <c r="AJ25" i="2"/>
  <c r="R25" i="8" s="1"/>
  <c r="AI16" i="2"/>
  <c r="A16" i="8" s="1"/>
  <c r="AI28" i="2"/>
  <c r="A28" i="8" s="1"/>
  <c r="AI18" i="2"/>
  <c r="A18" i="8" s="1"/>
  <c r="AI22" i="2"/>
  <c r="A22" i="8" s="1"/>
  <c r="AI26" i="2"/>
  <c r="A26" i="8" s="1"/>
  <c r="AI30" i="2"/>
  <c r="A30" i="8" s="1"/>
  <c r="AJ16" i="2"/>
  <c r="R16" i="8" s="1"/>
  <c r="AJ20" i="2"/>
  <c r="R20" i="8" s="1"/>
  <c r="AJ24" i="2"/>
  <c r="R24" i="8" s="1"/>
  <c r="AJ28" i="2"/>
  <c r="R28" i="8" s="1"/>
  <c r="AJ32" i="2"/>
  <c r="R32" i="8" s="1"/>
  <c r="AI19" i="2"/>
  <c r="A19" i="8" s="1"/>
  <c r="AI31" i="2"/>
  <c r="A31" i="8" s="1"/>
  <c r="AJ21" i="2"/>
  <c r="R21" i="8" s="1"/>
  <c r="AI24" i="2"/>
  <c r="A24" i="8" s="1"/>
  <c r="AJ18" i="2"/>
  <c r="R18" i="8" s="1"/>
  <c r="AJ22" i="2"/>
  <c r="R22" i="8" s="1"/>
  <c r="AJ26" i="2"/>
  <c r="R26" i="8" s="1"/>
  <c r="AJ30" i="2"/>
  <c r="R30" i="8" s="1"/>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AS94" i="8" l="1"/>
  <c r="BI94" i="8"/>
  <c r="AS273" i="8"/>
  <c r="BI273" i="8"/>
  <c r="AS92" i="8"/>
  <c r="BI92" i="8"/>
  <c r="AS271" i="8"/>
  <c r="BI271" i="8"/>
  <c r="AS90" i="8"/>
  <c r="BI90" i="8"/>
  <c r="AS269" i="8"/>
  <c r="BI269" i="8"/>
  <c r="AS315" i="8"/>
  <c r="BI315" i="8"/>
  <c r="AS86" i="8"/>
  <c r="BI86" i="8"/>
  <c r="AS241" i="8"/>
  <c r="BI241" i="8"/>
  <c r="AS179" i="8"/>
  <c r="BI179" i="8"/>
  <c r="AS237" i="8"/>
  <c r="BI237" i="8"/>
  <c r="AS56" i="8"/>
  <c r="BI56" i="8"/>
  <c r="AS259" i="8"/>
  <c r="BI259" i="8"/>
  <c r="AS54" i="8"/>
  <c r="BI54" i="8"/>
  <c r="AS257" i="8"/>
  <c r="BI257" i="8"/>
  <c r="AS52" i="8"/>
  <c r="BI52" i="8"/>
  <c r="AS231" i="8"/>
  <c r="BI231" i="8"/>
  <c r="AS205" i="8"/>
  <c r="BI205" i="8"/>
  <c r="AS49" i="8"/>
  <c r="BI49" i="8"/>
  <c r="AS38" i="8"/>
  <c r="BI38" i="8"/>
  <c r="AS25" i="8"/>
  <c r="BI25" i="8"/>
  <c r="AS297" i="8"/>
  <c r="BI297" i="8"/>
  <c r="AS168" i="8"/>
  <c r="BI168" i="8"/>
  <c r="AS251" i="8"/>
  <c r="BI251" i="8"/>
  <c r="AS249" i="8"/>
  <c r="BI249" i="8"/>
  <c r="AS68" i="8"/>
  <c r="BI68" i="8"/>
  <c r="AS247" i="8"/>
  <c r="BI247" i="8"/>
  <c r="AS245" i="8"/>
  <c r="BI245" i="8"/>
  <c r="AS291" i="8"/>
  <c r="BI291" i="8"/>
  <c r="AS62" i="8"/>
  <c r="BI62" i="8"/>
  <c r="AS217" i="8"/>
  <c r="BI217" i="8"/>
  <c r="AS384" i="8"/>
  <c r="BI384" i="8"/>
  <c r="AS155" i="8"/>
  <c r="BI155" i="8"/>
  <c r="AS382" i="8"/>
  <c r="BI382" i="8"/>
  <c r="AS213" i="8"/>
  <c r="BI213" i="8"/>
  <c r="AS235" i="8"/>
  <c r="BI235" i="8"/>
  <c r="AS233" i="8"/>
  <c r="BI233" i="8"/>
  <c r="AS207" i="8"/>
  <c r="BI207" i="8"/>
  <c r="AS374" i="8"/>
  <c r="BI374" i="8"/>
  <c r="AS193" i="8"/>
  <c r="BI193" i="8"/>
  <c r="AS51" i="8"/>
  <c r="BI51" i="8"/>
  <c r="AS50" i="8"/>
  <c r="BI50" i="8"/>
  <c r="AS39" i="8"/>
  <c r="BI39" i="8"/>
  <c r="AS21" i="8"/>
  <c r="BI21" i="8"/>
  <c r="AS144" i="8"/>
  <c r="BI144" i="8"/>
  <c r="AS225" i="8"/>
  <c r="BI225" i="8"/>
  <c r="AS223" i="8"/>
  <c r="BI223" i="8"/>
  <c r="AS37" i="8"/>
  <c r="BI37" i="8"/>
  <c r="AS221" i="8"/>
  <c r="BI221" i="8"/>
  <c r="AS267" i="8"/>
  <c r="BI267" i="8"/>
  <c r="AS181" i="8"/>
  <c r="BI181" i="8"/>
  <c r="AS360" i="8"/>
  <c r="BI360" i="8"/>
  <c r="AS131" i="8"/>
  <c r="BI131" i="8"/>
  <c r="AS358" i="8"/>
  <c r="BI358" i="8"/>
  <c r="AS177" i="8"/>
  <c r="BI177" i="8"/>
  <c r="AS211" i="8"/>
  <c r="BI211" i="8"/>
  <c r="AS209" i="8"/>
  <c r="BI209" i="8"/>
  <c r="AS171" i="8"/>
  <c r="BI171" i="8"/>
  <c r="AS350" i="8"/>
  <c r="BI350" i="8"/>
  <c r="AS169" i="8"/>
  <c r="BI169" i="8"/>
  <c r="AS18" i="8"/>
  <c r="BI18" i="8"/>
  <c r="AS299" i="8"/>
  <c r="BI299" i="8"/>
  <c r="AS36" i="8"/>
  <c r="BI36" i="8"/>
  <c r="AS112" i="8"/>
  <c r="BI112" i="8"/>
  <c r="AS70" i="8"/>
  <c r="BI70" i="8"/>
  <c r="AS66" i="8"/>
  <c r="BI66" i="8"/>
  <c r="AS371" i="8"/>
  <c r="BI371" i="8"/>
  <c r="AS227" i="8"/>
  <c r="BI227" i="8"/>
  <c r="AS43" i="8"/>
  <c r="BI43" i="8"/>
  <c r="AS41" i="8"/>
  <c r="BI41" i="8"/>
  <c r="AS31" i="8"/>
  <c r="BI31" i="8"/>
  <c r="AS35" i="8"/>
  <c r="BI35" i="8"/>
  <c r="AS292" i="8"/>
  <c r="BI292" i="8"/>
  <c r="AS120" i="8"/>
  <c r="BI120" i="8"/>
  <c r="AS203" i="8"/>
  <c r="BI203" i="8"/>
  <c r="AS201" i="8"/>
  <c r="BI201" i="8"/>
  <c r="AS199" i="8"/>
  <c r="BI199" i="8"/>
  <c r="AS197" i="8"/>
  <c r="BI197" i="8"/>
  <c r="AS88" i="8"/>
  <c r="BI88" i="8"/>
  <c r="AS243" i="8"/>
  <c r="BI243" i="8"/>
  <c r="AS157" i="8"/>
  <c r="BI157" i="8"/>
  <c r="AS336" i="8"/>
  <c r="BI336" i="8"/>
  <c r="AS107" i="8"/>
  <c r="BI107" i="8"/>
  <c r="AS334" i="8"/>
  <c r="BI334" i="8"/>
  <c r="AS153" i="8"/>
  <c r="BI153" i="8"/>
  <c r="AS380" i="8"/>
  <c r="BI380" i="8"/>
  <c r="AS175" i="8"/>
  <c r="BI175" i="8"/>
  <c r="AS378" i="8"/>
  <c r="BI378" i="8"/>
  <c r="AS173" i="8"/>
  <c r="BI173" i="8"/>
  <c r="AS376" i="8"/>
  <c r="BI376" i="8"/>
  <c r="AS147" i="8"/>
  <c r="BI147" i="8"/>
  <c r="AS326" i="8"/>
  <c r="BI326" i="8"/>
  <c r="AS145" i="8"/>
  <c r="BI145" i="8"/>
  <c r="AS29" i="8"/>
  <c r="BI29" i="8"/>
  <c r="AS275" i="8"/>
  <c r="BI275" i="8"/>
  <c r="AS268" i="8"/>
  <c r="BI268" i="8"/>
  <c r="AS370" i="8"/>
  <c r="BI370" i="8"/>
  <c r="AS187" i="8"/>
  <c r="BI187" i="8"/>
  <c r="AS366" i="8"/>
  <c r="BI366" i="8"/>
  <c r="AS185" i="8"/>
  <c r="BI185" i="8"/>
  <c r="AS64" i="8"/>
  <c r="BI64" i="8"/>
  <c r="AS219" i="8"/>
  <c r="BI219" i="8"/>
  <c r="AS133" i="8"/>
  <c r="BI133" i="8"/>
  <c r="AS312" i="8"/>
  <c r="BI312" i="8"/>
  <c r="AS83" i="8"/>
  <c r="BI83" i="8"/>
  <c r="AS310" i="8"/>
  <c r="BI310" i="8"/>
  <c r="AS129" i="8"/>
  <c r="BI129" i="8"/>
  <c r="AS356" i="8"/>
  <c r="BI356" i="8"/>
  <c r="AS151" i="8"/>
  <c r="BI151" i="8"/>
  <c r="AS354" i="8"/>
  <c r="BI354" i="8"/>
  <c r="AS149" i="8"/>
  <c r="BI149" i="8"/>
  <c r="AS352" i="8"/>
  <c r="BI352" i="8"/>
  <c r="AS123" i="8"/>
  <c r="BI123" i="8"/>
  <c r="AS302" i="8"/>
  <c r="BI302" i="8"/>
  <c r="AS121" i="8"/>
  <c r="BI121" i="8"/>
  <c r="AS136" i="8"/>
  <c r="BI136" i="8"/>
  <c r="AS32" i="8"/>
  <c r="BI32" i="8"/>
  <c r="AS191" i="8"/>
  <c r="BI191" i="8"/>
  <c r="AS368" i="8"/>
  <c r="BI368" i="8"/>
  <c r="AS28" i="8"/>
  <c r="BI28" i="8"/>
  <c r="AS34" i="8"/>
  <c r="BI34" i="8"/>
  <c r="AS72" i="8"/>
  <c r="BI72" i="8"/>
  <c r="AS165" i="8"/>
  <c r="BI165" i="8"/>
  <c r="AS344" i="8"/>
  <c r="BI344" i="8"/>
  <c r="AS163" i="8"/>
  <c r="BI163" i="8"/>
  <c r="AS342" i="8"/>
  <c r="BI342" i="8"/>
  <c r="AS161" i="8"/>
  <c r="BI161" i="8"/>
  <c r="AS195" i="8"/>
  <c r="BI195" i="8"/>
  <c r="AS362" i="8"/>
  <c r="BI362" i="8"/>
  <c r="AS109" i="8"/>
  <c r="BI109" i="8"/>
  <c r="AS288" i="8"/>
  <c r="BI288" i="8"/>
  <c r="AS59" i="8"/>
  <c r="BI59" i="8"/>
  <c r="AS286" i="8"/>
  <c r="BI286" i="8"/>
  <c r="AS105" i="8"/>
  <c r="BI105" i="8"/>
  <c r="AS332" i="8"/>
  <c r="BI332" i="8"/>
  <c r="AS127" i="8"/>
  <c r="BI127" i="8"/>
  <c r="AS330" i="8"/>
  <c r="BI330" i="8"/>
  <c r="AS125" i="8"/>
  <c r="BI125" i="8"/>
  <c r="AS328" i="8"/>
  <c r="BI328" i="8"/>
  <c r="AS99" i="8"/>
  <c r="BI99" i="8"/>
  <c r="AS278" i="8"/>
  <c r="BI278" i="8"/>
  <c r="AS97" i="8"/>
  <c r="BI97" i="8"/>
  <c r="AS22" i="8"/>
  <c r="BI22" i="8"/>
  <c r="AS204" i="8"/>
  <c r="BI204" i="8"/>
  <c r="AS17" i="8"/>
  <c r="BI17" i="8"/>
  <c r="AS192" i="8"/>
  <c r="BI192" i="8"/>
  <c r="AS27" i="8"/>
  <c r="BI27" i="8"/>
  <c r="AS96" i="8"/>
  <c r="BI96" i="8"/>
  <c r="AS189" i="8"/>
  <c r="BI189" i="8"/>
  <c r="AS23" i="8"/>
  <c r="BI23" i="8"/>
  <c r="AS244" i="8"/>
  <c r="BI244" i="8"/>
  <c r="AS167" i="8"/>
  <c r="BI167" i="8"/>
  <c r="AS346" i="8"/>
  <c r="BI346" i="8"/>
  <c r="AS24" i="8"/>
  <c r="BI24" i="8"/>
  <c r="AS19" i="8"/>
  <c r="BI19" i="8"/>
  <c r="AS33" i="8"/>
  <c r="BI33" i="8"/>
  <c r="AS220" i="8"/>
  <c r="BI220" i="8"/>
  <c r="AS45" i="8"/>
  <c r="BI45" i="8"/>
  <c r="AS143" i="8"/>
  <c r="BI143" i="8"/>
  <c r="AS322" i="8"/>
  <c r="BI322" i="8"/>
  <c r="AS141" i="8"/>
  <c r="BI141" i="8"/>
  <c r="AS320" i="8"/>
  <c r="BI320" i="8"/>
  <c r="AS139" i="8"/>
  <c r="BI139" i="8"/>
  <c r="AS318" i="8"/>
  <c r="BI318" i="8"/>
  <c r="AS137" i="8"/>
  <c r="BI137" i="8"/>
  <c r="AS183" i="8"/>
  <c r="BI183" i="8"/>
  <c r="AS338" i="8"/>
  <c r="BI338" i="8"/>
  <c r="AS85" i="8"/>
  <c r="BI85" i="8"/>
  <c r="AS264" i="8"/>
  <c r="BI264" i="8"/>
  <c r="AS262" i="8"/>
  <c r="BI262" i="8"/>
  <c r="AS81" i="8"/>
  <c r="BI81" i="8"/>
  <c r="AS308" i="8"/>
  <c r="BI308" i="8"/>
  <c r="AS103" i="8"/>
  <c r="BI103" i="8"/>
  <c r="AS306" i="8"/>
  <c r="BI306" i="8"/>
  <c r="AS101" i="8"/>
  <c r="BI101" i="8"/>
  <c r="AS304" i="8"/>
  <c r="BI304" i="8"/>
  <c r="AS75" i="8"/>
  <c r="BI75" i="8"/>
  <c r="AS254" i="8"/>
  <c r="BI254" i="8"/>
  <c r="AS73" i="8"/>
  <c r="BI73" i="8"/>
  <c r="AS298" i="8"/>
  <c r="BI298" i="8"/>
  <c r="AS117" i="8"/>
  <c r="BI117" i="8"/>
  <c r="AS115" i="8"/>
  <c r="BI115" i="8"/>
  <c r="AS294" i="8"/>
  <c r="BI294" i="8"/>
  <c r="AS113" i="8"/>
  <c r="BI113" i="8"/>
  <c r="AS159" i="8"/>
  <c r="BI159" i="8"/>
  <c r="AS314" i="8"/>
  <c r="BI314" i="8"/>
  <c r="AS61" i="8"/>
  <c r="BI61" i="8"/>
  <c r="AS240" i="8"/>
  <c r="BI240" i="8"/>
  <c r="AS238" i="8"/>
  <c r="BI238" i="8"/>
  <c r="AS57" i="8"/>
  <c r="BI57" i="8"/>
  <c r="AS284" i="8"/>
  <c r="BI284" i="8"/>
  <c r="AS79" i="8"/>
  <c r="BI79" i="8"/>
  <c r="AS282" i="8"/>
  <c r="BI282" i="8"/>
  <c r="AS77" i="8"/>
  <c r="BI77" i="8"/>
  <c r="AS280" i="8"/>
  <c r="BI280" i="8"/>
  <c r="AS48" i="8"/>
  <c r="BI48" i="8"/>
  <c r="AS230" i="8"/>
  <c r="BI230" i="8"/>
  <c r="AS46" i="8"/>
  <c r="BI46" i="8"/>
  <c r="AS20" i="8"/>
  <c r="BI20" i="8"/>
  <c r="AS15" i="8"/>
  <c r="BI15" i="8"/>
  <c r="AS196" i="8"/>
  <c r="BI196" i="8"/>
  <c r="AS119" i="8"/>
  <c r="BI119" i="8"/>
  <c r="AS296" i="8"/>
  <c r="BI296" i="8"/>
  <c r="AS16" i="8"/>
  <c r="BI16" i="8"/>
  <c r="AS364" i="8"/>
  <c r="BI364" i="8"/>
  <c r="AS372" i="8"/>
  <c r="BI372" i="8"/>
  <c r="AS95" i="8"/>
  <c r="BI95" i="8"/>
  <c r="AS274" i="8"/>
  <c r="BI274" i="8"/>
  <c r="AS93" i="8"/>
  <c r="BI93" i="8"/>
  <c r="AS272" i="8"/>
  <c r="BI272" i="8"/>
  <c r="AS91" i="8"/>
  <c r="BI91" i="8"/>
  <c r="AS270" i="8"/>
  <c r="BI270" i="8"/>
  <c r="AS89" i="8"/>
  <c r="BI89" i="8"/>
  <c r="AS135" i="8"/>
  <c r="BI135" i="8"/>
  <c r="AS290" i="8"/>
  <c r="BI290" i="8"/>
  <c r="AS216" i="8"/>
  <c r="BI216" i="8"/>
  <c r="AS383" i="8"/>
  <c r="BI383" i="8"/>
  <c r="AS214" i="8"/>
  <c r="BI214" i="8"/>
  <c r="AS260" i="8"/>
  <c r="BI260" i="8"/>
  <c r="AS55" i="8"/>
  <c r="BI55" i="8"/>
  <c r="AS258" i="8"/>
  <c r="BI258" i="8"/>
  <c r="AS53" i="8"/>
  <c r="BI53" i="8"/>
  <c r="AS256" i="8"/>
  <c r="BI256" i="8"/>
  <c r="AS206" i="8"/>
  <c r="BI206" i="8"/>
  <c r="AS348" i="8"/>
  <c r="BI348" i="8"/>
  <c r="AS71" i="8"/>
  <c r="BI71" i="8"/>
  <c r="AS250" i="8"/>
  <c r="BI250" i="8"/>
  <c r="AS69" i="8"/>
  <c r="BI69" i="8"/>
  <c r="AS248" i="8"/>
  <c r="BI248" i="8"/>
  <c r="AS67" i="8"/>
  <c r="BI67" i="8"/>
  <c r="AS246" i="8"/>
  <c r="BI246" i="8"/>
  <c r="AS65" i="8"/>
  <c r="BI65" i="8"/>
  <c r="AS111" i="8"/>
  <c r="BI111" i="8"/>
  <c r="AS266" i="8"/>
  <c r="BI266" i="8"/>
  <c r="AS180" i="8"/>
  <c r="BI180" i="8"/>
  <c r="AS359" i="8"/>
  <c r="BI359" i="8"/>
  <c r="AS178" i="8"/>
  <c r="BI178" i="8"/>
  <c r="AS236" i="8"/>
  <c r="BI236" i="8"/>
  <c r="AS234" i="8"/>
  <c r="BI234" i="8"/>
  <c r="AS232" i="8"/>
  <c r="BI232" i="8"/>
  <c r="AS194" i="8"/>
  <c r="BI194" i="8"/>
  <c r="AS373" i="8"/>
  <c r="BI373" i="8"/>
  <c r="AS347" i="8"/>
  <c r="BI347" i="8"/>
  <c r="AS340" i="8"/>
  <c r="BI340" i="8"/>
  <c r="AS226" i="8"/>
  <c r="BI226" i="8"/>
  <c r="AS42" i="8"/>
  <c r="BI42" i="8"/>
  <c r="AS242" i="8"/>
  <c r="BI242" i="8"/>
  <c r="AS156" i="8"/>
  <c r="BI156" i="8"/>
  <c r="AS335" i="8"/>
  <c r="BI335" i="8"/>
  <c r="AS154" i="8"/>
  <c r="BI154" i="8"/>
  <c r="AS381" i="8"/>
  <c r="BI381" i="8"/>
  <c r="AS212" i="8"/>
  <c r="BI212" i="8"/>
  <c r="AS210" i="8"/>
  <c r="BI210" i="8"/>
  <c r="AS208" i="8"/>
  <c r="BI208" i="8"/>
  <c r="AS375" i="8"/>
  <c r="BI375" i="8"/>
  <c r="AS170" i="8"/>
  <c r="BI170" i="8"/>
  <c r="AS349" i="8"/>
  <c r="BI349" i="8"/>
  <c r="AS324" i="8"/>
  <c r="BI324" i="8"/>
  <c r="AS44" i="8"/>
  <c r="BI44" i="8"/>
  <c r="AS224" i="8"/>
  <c r="BI224" i="8"/>
  <c r="AS40" i="8"/>
  <c r="BI40" i="8"/>
  <c r="AS222" i="8"/>
  <c r="BI222" i="8"/>
  <c r="AS87" i="8"/>
  <c r="BI87" i="8"/>
  <c r="AS184" i="8"/>
  <c r="BI184" i="8"/>
  <c r="AS200" i="8"/>
  <c r="BI200" i="8"/>
  <c r="AS198" i="8"/>
  <c r="BI198" i="8"/>
  <c r="AS63" i="8"/>
  <c r="BI63" i="8"/>
  <c r="AS218" i="8"/>
  <c r="BI218" i="8"/>
  <c r="AS361" i="8"/>
  <c r="BI361" i="8"/>
  <c r="AS132" i="8"/>
  <c r="BI132" i="8"/>
  <c r="AS311" i="8"/>
  <c r="BI311" i="8"/>
  <c r="AS130" i="8"/>
  <c r="BI130" i="8"/>
  <c r="AS357" i="8"/>
  <c r="BI357" i="8"/>
  <c r="AS176" i="8"/>
  <c r="BI176" i="8"/>
  <c r="AS379" i="8"/>
  <c r="BI379" i="8"/>
  <c r="AS174" i="8"/>
  <c r="BI174" i="8"/>
  <c r="AS377" i="8"/>
  <c r="BI377" i="8"/>
  <c r="AS172" i="8"/>
  <c r="BI172" i="8"/>
  <c r="AS351" i="8"/>
  <c r="BI351" i="8"/>
  <c r="AS146" i="8"/>
  <c r="BI146" i="8"/>
  <c r="AS325" i="8"/>
  <c r="BI325" i="8"/>
  <c r="AS30" i="8"/>
  <c r="BI30" i="8"/>
  <c r="AS323" i="8"/>
  <c r="BI323" i="8"/>
  <c r="AS276" i="8"/>
  <c r="BI276" i="8"/>
  <c r="AS190" i="8"/>
  <c r="BI190" i="8"/>
  <c r="AS369" i="8"/>
  <c r="BI369" i="8"/>
  <c r="AS188" i="8"/>
  <c r="BI188" i="8"/>
  <c r="AS367" i="8"/>
  <c r="BI367" i="8"/>
  <c r="AS186" i="8"/>
  <c r="BI186" i="8"/>
  <c r="AS365" i="8"/>
  <c r="BI365" i="8"/>
  <c r="AS182" i="8"/>
  <c r="BI182" i="8"/>
  <c r="AS337" i="8"/>
  <c r="BI337" i="8"/>
  <c r="AS108" i="8"/>
  <c r="BI108" i="8"/>
  <c r="AS287" i="8"/>
  <c r="BI287" i="8"/>
  <c r="AS106" i="8"/>
  <c r="BI106" i="8"/>
  <c r="AS333" i="8"/>
  <c r="BI333" i="8"/>
  <c r="AS152" i="8"/>
  <c r="BI152" i="8"/>
  <c r="AS355" i="8"/>
  <c r="BI355" i="8"/>
  <c r="AS150" i="8"/>
  <c r="BI150" i="8"/>
  <c r="AS353" i="8"/>
  <c r="BI353" i="8"/>
  <c r="AS148" i="8"/>
  <c r="BI148" i="8"/>
  <c r="AS327" i="8"/>
  <c r="BI327" i="8"/>
  <c r="AS122" i="8"/>
  <c r="BI122" i="8"/>
  <c r="AS301" i="8"/>
  <c r="BI301" i="8"/>
  <c r="AS300" i="8"/>
  <c r="BI300" i="8"/>
  <c r="AS202" i="8"/>
  <c r="BI202" i="8"/>
  <c r="AS26" i="8"/>
  <c r="BI26" i="8"/>
  <c r="AS160" i="8"/>
  <c r="BI160" i="8"/>
  <c r="AS252" i="8"/>
  <c r="BI252" i="8"/>
  <c r="AS166" i="8"/>
  <c r="BI166" i="8"/>
  <c r="AS345" i="8"/>
  <c r="BI345" i="8"/>
  <c r="AS164" i="8"/>
  <c r="BI164" i="8"/>
  <c r="AS343" i="8"/>
  <c r="BI343" i="8"/>
  <c r="AS162" i="8"/>
  <c r="BI162" i="8"/>
  <c r="AS341" i="8"/>
  <c r="BI341" i="8"/>
  <c r="AS158" i="8"/>
  <c r="BI158" i="8"/>
  <c r="AS313" i="8"/>
  <c r="BI313" i="8"/>
  <c r="AS84" i="8"/>
  <c r="BI84" i="8"/>
  <c r="AS263" i="8"/>
  <c r="BI263" i="8"/>
  <c r="AS82" i="8"/>
  <c r="BI82" i="8"/>
  <c r="AS309" i="8"/>
  <c r="BI309" i="8"/>
  <c r="AS128" i="8"/>
  <c r="BI128" i="8"/>
  <c r="AS331" i="8"/>
  <c r="BI331" i="8"/>
  <c r="AS126" i="8"/>
  <c r="BI126" i="8"/>
  <c r="AS329" i="8"/>
  <c r="BI329" i="8"/>
  <c r="AS124" i="8"/>
  <c r="BI124" i="8"/>
  <c r="AS303" i="8"/>
  <c r="BI303" i="8"/>
  <c r="AS98" i="8"/>
  <c r="BI98" i="8"/>
  <c r="AS277" i="8"/>
  <c r="BI277" i="8"/>
  <c r="AS316" i="8"/>
  <c r="BI316" i="8"/>
  <c r="AS142" i="8"/>
  <c r="BI142" i="8"/>
  <c r="AS321" i="8"/>
  <c r="BI321" i="8"/>
  <c r="AS140" i="8"/>
  <c r="BI140" i="8"/>
  <c r="AS319" i="8"/>
  <c r="BI319" i="8"/>
  <c r="AS138" i="8"/>
  <c r="BI138" i="8"/>
  <c r="AS317" i="8"/>
  <c r="BI317" i="8"/>
  <c r="AS363" i="8"/>
  <c r="BI363" i="8"/>
  <c r="AS134" i="8"/>
  <c r="BI134" i="8"/>
  <c r="AS289" i="8"/>
  <c r="BI289" i="8"/>
  <c r="AS60" i="8"/>
  <c r="BI60" i="8"/>
  <c r="AS239" i="8"/>
  <c r="BI239" i="8"/>
  <c r="AS58" i="8"/>
  <c r="BI58" i="8"/>
  <c r="AS285" i="8"/>
  <c r="BI285" i="8"/>
  <c r="AS104" i="8"/>
  <c r="BI104" i="8"/>
  <c r="AS307" i="8"/>
  <c r="BI307" i="8"/>
  <c r="AS102" i="8"/>
  <c r="BI102" i="8"/>
  <c r="AS305" i="8"/>
  <c r="BI305" i="8"/>
  <c r="AS100" i="8"/>
  <c r="BI100" i="8"/>
  <c r="AS279" i="8"/>
  <c r="BI279" i="8"/>
  <c r="AS74" i="8"/>
  <c r="BI74" i="8"/>
  <c r="AS253" i="8"/>
  <c r="BI253" i="8"/>
  <c r="AS228" i="8"/>
  <c r="BI228" i="8"/>
  <c r="AS118" i="8"/>
  <c r="BI118" i="8"/>
  <c r="AS116" i="8"/>
  <c r="BI116" i="8"/>
  <c r="AS295" i="8"/>
  <c r="BI295" i="8"/>
  <c r="AS114" i="8"/>
  <c r="BI114" i="8"/>
  <c r="AS293" i="8"/>
  <c r="BI293" i="8"/>
  <c r="AS339" i="8"/>
  <c r="BI339" i="8"/>
  <c r="AS110" i="8"/>
  <c r="BI110" i="8"/>
  <c r="AS265" i="8"/>
  <c r="BI265" i="8"/>
  <c r="AS215" i="8"/>
  <c r="BI215" i="8"/>
  <c r="AS261" i="8"/>
  <c r="BI261" i="8"/>
  <c r="AS80" i="8"/>
  <c r="BI80" i="8"/>
  <c r="AS283" i="8"/>
  <c r="BI283" i="8"/>
  <c r="AS78" i="8"/>
  <c r="BI78" i="8"/>
  <c r="AS281" i="8"/>
  <c r="BI281" i="8"/>
  <c r="AS76" i="8"/>
  <c r="BI76" i="8"/>
  <c r="AS255" i="8"/>
  <c r="BI255" i="8"/>
  <c r="AS47" i="8"/>
  <c r="BI47" i="8"/>
  <c r="AS229" i="8"/>
  <c r="BI229" i="8"/>
  <c r="R385" i="8"/>
  <c r="AS5" i="8"/>
  <c r="BI5" i="8"/>
  <c r="AS7" i="8"/>
  <c r="BI7" i="8"/>
  <c r="AS11" i="8"/>
  <c r="BI11" i="8"/>
  <c r="AS9" i="8"/>
  <c r="BI9" i="8"/>
  <c r="AS13" i="8"/>
  <c r="BI13" i="8"/>
  <c r="BI10" i="8"/>
  <c r="AS10" i="8"/>
  <c r="BI12" i="8"/>
  <c r="AS12" i="8"/>
  <c r="BI14" i="8"/>
  <c r="AS14" i="8"/>
  <c r="BI8" i="8"/>
  <c r="AS8" i="8"/>
  <c r="AJ385" i="2"/>
  <c r="BI6" i="8" l="1"/>
  <c r="BI385" i="8" s="1"/>
  <c r="AS6" i="8"/>
  <c r="AS385" i="8" s="1"/>
  <c r="BJ133" i="8" l="1"/>
  <c r="BJ320" i="8"/>
  <c r="BJ127" i="8"/>
  <c r="BJ147" i="8"/>
  <c r="BJ136" i="8"/>
  <c r="BJ100" i="8"/>
  <c r="BJ239" i="8"/>
  <c r="BJ211" i="8"/>
  <c r="BJ62" i="8"/>
  <c r="BJ183" i="8"/>
  <c r="BJ152" i="8"/>
  <c r="BK152" i="8" s="1"/>
  <c r="BJ15" i="8"/>
  <c r="BJ124" i="8"/>
  <c r="BJ350" i="8"/>
  <c r="BJ271" i="8"/>
  <c r="BK271" i="8" s="1"/>
  <c r="BJ305" i="8"/>
  <c r="BK305" i="8" s="1"/>
  <c r="BJ368" i="8"/>
  <c r="BJ291" i="8"/>
  <c r="BJ280" i="8"/>
  <c r="BJ90" i="8"/>
  <c r="BJ375" i="8"/>
  <c r="BJ162" i="8"/>
  <c r="BK162" i="8" s="1"/>
  <c r="BJ256" i="8"/>
  <c r="BJ255" i="8"/>
  <c r="BJ50" i="8"/>
  <c r="BJ44" i="8"/>
  <c r="BJ49" i="8"/>
  <c r="BJ295" i="8"/>
  <c r="BJ109" i="8"/>
  <c r="BJ108" i="8"/>
  <c r="BJ220" i="8"/>
  <c r="BJ230" i="8"/>
  <c r="BL230" i="8" s="1"/>
  <c r="BM230" i="8" s="1"/>
  <c r="BJ22" i="8"/>
  <c r="BJ335" i="8"/>
  <c r="BJ334" i="8"/>
  <c r="BJ203" i="8"/>
  <c r="BJ48" i="8"/>
  <c r="BJ243" i="8"/>
  <c r="BL243" i="8" s="1"/>
  <c r="BM243" i="8" s="1"/>
  <c r="BJ186" i="8"/>
  <c r="BJ205" i="8"/>
  <c r="BJ180" i="8"/>
  <c r="BJ155" i="8"/>
  <c r="BJ73" i="8"/>
  <c r="BK73" i="8" s="1"/>
  <c r="BJ204" i="8"/>
  <c r="BJ129" i="8"/>
  <c r="BJ179" i="8"/>
  <c r="BJ303" i="8"/>
  <c r="BL303" i="8" s="1"/>
  <c r="BM303" i="8" s="1"/>
  <c r="BJ306" i="8"/>
  <c r="BL306" i="8" s="1"/>
  <c r="BM306" i="8" s="1"/>
  <c r="BJ207" i="8"/>
  <c r="BJ194" i="8"/>
  <c r="BJ251" i="8"/>
  <c r="BJ153" i="8"/>
  <c r="BJ103" i="8"/>
  <c r="BJ78" i="8"/>
  <c r="BL78" i="8" s="1"/>
  <c r="BM78" i="8" s="1"/>
  <c r="BJ313" i="8"/>
  <c r="BJ244" i="8"/>
  <c r="BJ33" i="8"/>
  <c r="BJ344" i="8"/>
  <c r="BJ77" i="8"/>
  <c r="BK77" i="8" s="1"/>
  <c r="BJ185" i="8"/>
  <c r="BJ366" i="8"/>
  <c r="BJ286" i="8"/>
  <c r="BJ294" i="8"/>
  <c r="BK294" i="8" s="1"/>
  <c r="BJ177" i="8"/>
  <c r="BL177" i="8" s="1"/>
  <c r="BM177" i="8" s="1"/>
  <c r="BJ352" i="8"/>
  <c r="BJ144" i="8"/>
  <c r="BJ53" i="8"/>
  <c r="BJ111" i="8"/>
  <c r="BJ105" i="8"/>
  <c r="BJ143" i="8"/>
  <c r="BL143" i="8" s="1"/>
  <c r="BM143" i="8" s="1"/>
  <c r="BJ260" i="8"/>
  <c r="BJ114" i="8"/>
  <c r="BJ237" i="8"/>
  <c r="BJ319" i="8"/>
  <c r="BJ259" i="8"/>
  <c r="BL259" i="8" s="1"/>
  <c r="BM259" i="8" s="1"/>
  <c r="BJ102" i="8"/>
  <c r="BJ176" i="8"/>
  <c r="BJ356" i="8"/>
  <c r="BJ115" i="8"/>
  <c r="BJ28" i="8"/>
  <c r="BK28" i="8" s="1"/>
  <c r="BJ345" i="8"/>
  <c r="BJ110" i="8"/>
  <c r="BJ310" i="8"/>
  <c r="BJ275" i="8"/>
  <c r="BJ241" i="8"/>
  <c r="BL241" i="8" s="1"/>
  <c r="BM241" i="8" s="1"/>
  <c r="BJ160" i="8"/>
  <c r="BK160" i="8" s="1"/>
  <c r="BJ287" i="8"/>
  <c r="BJ72" i="8"/>
  <c r="BL72" i="8" s="1"/>
  <c r="BM72" i="8" s="1"/>
  <c r="BJ128" i="8"/>
  <c r="BJ326" i="8"/>
  <c r="BJ87" i="8"/>
  <c r="BK87" i="8" s="1"/>
  <c r="BJ370" i="8"/>
  <c r="BJ261" i="8"/>
  <c r="BJ74" i="8"/>
  <c r="BJ265" i="8"/>
  <c r="BK265" i="8" s="1"/>
  <c r="BJ228" i="8"/>
  <c r="BL228" i="8" s="1"/>
  <c r="BM228" i="8" s="1"/>
  <c r="BJ361" i="8"/>
  <c r="BJ315" i="8"/>
  <c r="BL315" i="8" s="1"/>
  <c r="BM315" i="8" s="1"/>
  <c r="BJ199" i="8"/>
  <c r="BJ157" i="8"/>
  <c r="BJ120" i="8"/>
  <c r="BJ222" i="8"/>
  <c r="BL222" i="8" s="1"/>
  <c r="BM222" i="8" s="1"/>
  <c r="BJ71" i="8"/>
  <c r="BJ172" i="8"/>
  <c r="BJ19" i="8"/>
  <c r="BJ318" i="8"/>
  <c r="BJ238" i="8"/>
  <c r="BK238" i="8" s="1"/>
  <c r="BJ158" i="8"/>
  <c r="BJ112" i="8"/>
  <c r="BJ314" i="8"/>
  <c r="BL314" i="8" s="1"/>
  <c r="BM314" i="8" s="1"/>
  <c r="BJ297" i="8"/>
  <c r="BK297" i="8" s="1"/>
  <c r="BJ59" i="8"/>
  <c r="BK59" i="8" s="1"/>
  <c r="BJ380" i="8"/>
  <c r="BJ338" i="8"/>
  <c r="BJ316" i="8"/>
  <c r="BJ150" i="8"/>
  <c r="BJ86" i="8"/>
  <c r="BJ213" i="8"/>
  <c r="BK213" i="8" s="1"/>
  <c r="BJ193" i="8"/>
  <c r="BJ138" i="8"/>
  <c r="BJ231" i="8"/>
  <c r="BJ84" i="8"/>
  <c r="BJ200" i="8"/>
  <c r="BK200" i="8" s="1"/>
  <c r="BJ55" i="8"/>
  <c r="BJ46" i="8"/>
  <c r="BJ41" i="8"/>
  <c r="BJ20" i="8"/>
  <c r="BL20" i="8" s="1"/>
  <c r="BM20" i="8" s="1"/>
  <c r="BJ234" i="8"/>
  <c r="BK234" i="8" s="1"/>
  <c r="BJ119" i="8"/>
  <c r="BJ75" i="8"/>
  <c r="BK75" i="8" s="1"/>
  <c r="BJ281" i="8"/>
  <c r="BJ269" i="8"/>
  <c r="BL269" i="8" s="1"/>
  <c r="BM269" i="8" s="1"/>
  <c r="BJ30" i="8"/>
  <c r="BJ384" i="8"/>
  <c r="BJ278" i="8"/>
  <c r="BJ347" i="8"/>
  <c r="BJ229" i="8"/>
  <c r="BJ43" i="8"/>
  <c r="BJ159" i="8"/>
  <c r="BJ126" i="8"/>
  <c r="BJ26" i="8"/>
  <c r="BJ64" i="8"/>
  <c r="BJ134" i="8"/>
  <c r="BK134" i="8" s="1"/>
  <c r="BJ113" i="8"/>
  <c r="BK113" i="8" s="1"/>
  <c r="BJ371" i="8"/>
  <c r="BJ187" i="8"/>
  <c r="BJ66" i="8"/>
  <c r="BJ37" i="8"/>
  <c r="BL37" i="8" s="1"/>
  <c r="BM37" i="8" s="1"/>
  <c r="BJ245" i="8"/>
  <c r="BJ240" i="8"/>
  <c r="BL240" i="8" s="1"/>
  <c r="BM240" i="8" s="1"/>
  <c r="BJ367" i="8"/>
  <c r="BJ383" i="8"/>
  <c r="BJ214" i="8"/>
  <c r="BJ252" i="8"/>
  <c r="BJ288" i="8"/>
  <c r="BK288" i="8" s="1"/>
  <c r="BJ104" i="8"/>
  <c r="BJ358" i="8"/>
  <c r="BL358" i="8" s="1"/>
  <c r="BJ181" i="8"/>
  <c r="BK181" i="8" s="1"/>
  <c r="BJ165" i="8"/>
  <c r="BL165" i="8" s="1"/>
  <c r="BM165" i="8" s="1"/>
  <c r="BJ311" i="8"/>
  <c r="BK311" i="8" s="1"/>
  <c r="BJ98" i="8"/>
  <c r="BJ25" i="8"/>
  <c r="BJ285" i="8"/>
  <c r="BJ221" i="8"/>
  <c r="BJ336" i="8"/>
  <c r="BJ309" i="8"/>
  <c r="BL309" i="8" s="1"/>
  <c r="BM309" i="8" s="1"/>
  <c r="BJ301" i="8"/>
  <c r="BJ148" i="8"/>
  <c r="BJ94" i="8"/>
  <c r="BJ284" i="8"/>
  <c r="BJ236" i="8"/>
  <c r="BJ175" i="8"/>
  <c r="BJ83" i="8"/>
  <c r="BJ65" i="8"/>
  <c r="BJ324" i="8"/>
  <c r="BK324" i="8" s="1"/>
  <c r="BJ197" i="8"/>
  <c r="BL197" i="8" s="1"/>
  <c r="BM197" i="8" s="1"/>
  <c r="BJ45" i="8"/>
  <c r="BJ364" i="8"/>
  <c r="BL364" i="8" s="1"/>
  <c r="BJ208" i="8"/>
  <c r="BK208" i="8" s="1"/>
  <c r="BJ296" i="8"/>
  <c r="BK296" i="8" s="1"/>
  <c r="BJ342" i="8"/>
  <c r="BJ382" i="8"/>
  <c r="BJ362" i="8"/>
  <c r="BK362" i="8" s="1"/>
  <c r="BJ223" i="8"/>
  <c r="BJ189" i="8"/>
  <c r="BJ195" i="8"/>
  <c r="BJ35" i="8"/>
  <c r="BK35" i="8" s="1"/>
  <c r="BJ289" i="8"/>
  <c r="BJ141" i="8"/>
  <c r="BJ32" i="8"/>
  <c r="BJ132" i="8"/>
  <c r="BK132" i="8" s="1"/>
  <c r="BJ93" i="8"/>
  <c r="BK93" i="8" s="1"/>
  <c r="BJ70" i="8"/>
  <c r="BL70" i="8" s="1"/>
  <c r="BM70" i="8" s="1"/>
  <c r="BJ18" i="8"/>
  <c r="BJ343" i="8"/>
  <c r="BJ282" i="8"/>
  <c r="BJ273" i="8"/>
  <c r="BJ122" i="8"/>
  <c r="BL122" i="8" s="1"/>
  <c r="BM122" i="8" s="1"/>
  <c r="BJ340" i="8"/>
  <c r="BJ341" i="8"/>
  <c r="BK341" i="8" s="1"/>
  <c r="BJ277" i="8"/>
  <c r="BJ218" i="8"/>
  <c r="BJ163" i="8"/>
  <c r="BK163" i="8" s="1"/>
  <c r="BJ369" i="8"/>
  <c r="BJ331" i="8"/>
  <c r="BL331" i="8" s="1"/>
  <c r="BJ170" i="8"/>
  <c r="BL170" i="8" s="1"/>
  <c r="BM170" i="8" s="1"/>
  <c r="BJ268" i="8"/>
  <c r="BK268" i="8" s="1"/>
  <c r="BJ317" i="8"/>
  <c r="BK317" i="8" s="1"/>
  <c r="BJ381" i="8"/>
  <c r="BJ67" i="8"/>
  <c r="BL67" i="8" s="1"/>
  <c r="BM67" i="8" s="1"/>
  <c r="BJ346" i="8"/>
  <c r="BJ42" i="8"/>
  <c r="BJ322" i="8"/>
  <c r="BJ283" i="8"/>
  <c r="BL283" i="8" s="1"/>
  <c r="BM283" i="8" s="1"/>
  <c r="BJ96" i="8"/>
  <c r="BK96" i="8" s="1"/>
  <c r="BJ372" i="8"/>
  <c r="BK372" i="8" s="1"/>
  <c r="BJ339" i="8"/>
  <c r="BJ308" i="8"/>
  <c r="BJ263" i="8"/>
  <c r="BK263" i="8" s="1"/>
  <c r="BJ38" i="8"/>
  <c r="BJ247" i="8"/>
  <c r="BK247" i="8" s="1"/>
  <c r="BJ169" i="8"/>
  <c r="BJ68" i="8"/>
  <c r="BK68" i="8" s="1"/>
  <c r="BJ17" i="8"/>
  <c r="BK17" i="8" s="1"/>
  <c r="BJ298" i="8"/>
  <c r="BL298" i="8" s="1"/>
  <c r="BM298" i="8" s="1"/>
  <c r="BJ266" i="8"/>
  <c r="BK266" i="8" s="1"/>
  <c r="BJ323" i="8"/>
  <c r="BL323" i="8" s="1"/>
  <c r="BJ272" i="8"/>
  <c r="BK272" i="8" s="1"/>
  <c r="BJ225" i="8"/>
  <c r="BK225" i="8" s="1"/>
  <c r="BJ333" i="8"/>
  <c r="BK333" i="8" s="1"/>
  <c r="BJ210" i="8"/>
  <c r="BL210" i="8" s="1"/>
  <c r="BM210" i="8" s="1"/>
  <c r="BJ299" i="8"/>
  <c r="BK299" i="8" s="1"/>
  <c r="BJ39" i="8"/>
  <c r="BK39" i="8" s="1"/>
  <c r="BJ355" i="8"/>
  <c r="BK355" i="8" s="1"/>
  <c r="BJ274" i="8"/>
  <c r="BL274" i="8" s="1"/>
  <c r="BM274" i="8" s="1"/>
  <c r="BJ161" i="8"/>
  <c r="BJ216" i="8"/>
  <c r="BK216" i="8" s="1"/>
  <c r="BJ235" i="8"/>
  <c r="BL235" i="8" s="1"/>
  <c r="BM235" i="8" s="1"/>
  <c r="BJ191" i="8"/>
  <c r="BK191" i="8" s="1"/>
  <c r="BJ257" i="8"/>
  <c r="BL257" i="8" s="1"/>
  <c r="BM257" i="8" s="1"/>
  <c r="BJ174" i="8"/>
  <c r="BL174" i="8" s="1"/>
  <c r="BM174" i="8" s="1"/>
  <c r="BJ270" i="8"/>
  <c r="BK270" i="8" s="1"/>
  <c r="BJ374" i="8"/>
  <c r="BL374" i="8" s="1"/>
  <c r="BJ330" i="8"/>
  <c r="BK330" i="8" s="1"/>
  <c r="BJ14" i="8"/>
  <c r="BK193" i="8"/>
  <c r="BL193" i="8"/>
  <c r="BM193" i="8" s="1"/>
  <c r="BK314" i="8"/>
  <c r="BK344" i="8"/>
  <c r="BL344" i="8"/>
  <c r="BK229" i="8"/>
  <c r="BL229" i="8"/>
  <c r="BM229" i="8" s="1"/>
  <c r="BK315" i="8"/>
  <c r="BL211" i="8"/>
  <c r="BM211" i="8" s="1"/>
  <c r="BK211" i="8"/>
  <c r="BK380" i="8"/>
  <c r="BL380" i="8"/>
  <c r="BL153" i="8"/>
  <c r="BM153" i="8" s="1"/>
  <c r="BK153" i="8"/>
  <c r="BK19" i="8"/>
  <c r="BL19" i="8"/>
  <c r="BM19" i="8" s="1"/>
  <c r="BK183" i="8"/>
  <c r="BL183" i="8"/>
  <c r="BM183" i="8" s="1"/>
  <c r="BL231" i="8"/>
  <c r="BM231" i="8" s="1"/>
  <c r="BK231" i="8"/>
  <c r="BL128" i="8"/>
  <c r="BM128" i="8" s="1"/>
  <c r="BK128" i="8"/>
  <c r="BK204" i="8"/>
  <c r="BL204" i="8"/>
  <c r="BM204" i="8" s="1"/>
  <c r="BL157" i="8"/>
  <c r="BM157" i="8" s="1"/>
  <c r="BK157" i="8"/>
  <c r="BK103" i="8"/>
  <c r="BL103" i="8"/>
  <c r="BM103" i="8" s="1"/>
  <c r="BK86" i="8"/>
  <c r="BL86" i="8"/>
  <c r="BM86" i="8" s="1"/>
  <c r="BL261" i="8"/>
  <c r="BM261" i="8" s="1"/>
  <c r="BK261" i="8"/>
  <c r="BK100" i="8"/>
  <c r="BL100" i="8"/>
  <c r="BM100" i="8" s="1"/>
  <c r="BL126" i="8"/>
  <c r="BM126" i="8" s="1"/>
  <c r="BK126" i="8"/>
  <c r="BK124" i="8"/>
  <c r="BL124" i="8"/>
  <c r="BM124" i="8" s="1"/>
  <c r="BK172" i="8"/>
  <c r="BL172" i="8"/>
  <c r="BM172" i="8" s="1"/>
  <c r="BK78" i="8"/>
  <c r="BL195" i="8"/>
  <c r="BM195" i="8" s="1"/>
  <c r="BK195" i="8"/>
  <c r="BK105" i="8"/>
  <c r="BL105" i="8"/>
  <c r="BM105" i="8" s="1"/>
  <c r="BK364" i="8"/>
  <c r="BK62" i="8"/>
  <c r="BL62" i="8"/>
  <c r="BM62" i="8" s="1"/>
  <c r="BL98" i="8"/>
  <c r="BM98" i="8" s="1"/>
  <c r="BK98" i="8"/>
  <c r="BL144" i="8"/>
  <c r="BM144" i="8" s="1"/>
  <c r="BK144" i="8"/>
  <c r="BK280" i="8"/>
  <c r="BL280" i="8"/>
  <c r="BM280" i="8" s="1"/>
  <c r="BK53" i="8"/>
  <c r="BL53" i="8"/>
  <c r="BM53" i="8" s="1"/>
  <c r="BK235" i="8"/>
  <c r="BK112" i="8"/>
  <c r="BL112" i="8"/>
  <c r="BM112" i="8" s="1"/>
  <c r="BK189" i="8"/>
  <c r="BL189" i="8"/>
  <c r="BM189" i="8" s="1"/>
  <c r="BK71" i="8"/>
  <c r="BL71" i="8"/>
  <c r="BM71" i="8" s="1"/>
  <c r="BK331" i="8"/>
  <c r="BK22" i="8"/>
  <c r="BL22" i="8"/>
  <c r="BM22" i="8" s="1"/>
  <c r="BK70" i="8"/>
  <c r="BK115" i="8"/>
  <c r="BL115" i="8"/>
  <c r="BM115" i="8" s="1"/>
  <c r="BK255" i="8"/>
  <c r="BL255" i="8"/>
  <c r="BM255" i="8" s="1"/>
  <c r="BK287" i="8"/>
  <c r="BL287" i="8"/>
  <c r="BM287" i="8" s="1"/>
  <c r="BL41" i="8"/>
  <c r="BM41" i="8" s="1"/>
  <c r="BK41" i="8"/>
  <c r="BL87" i="8"/>
  <c r="BM87" i="8" s="1"/>
  <c r="BL370" i="8"/>
  <c r="BK370" i="8"/>
  <c r="BK334" i="8"/>
  <c r="BL334" i="8"/>
  <c r="BK371" i="8"/>
  <c r="BL371" i="8"/>
  <c r="BK37" i="8"/>
  <c r="BL285" i="8"/>
  <c r="BM285" i="8" s="1"/>
  <c r="BK285" i="8"/>
  <c r="BK356" i="8"/>
  <c r="BL356" i="8"/>
  <c r="BK205" i="8"/>
  <c r="BL205" i="8"/>
  <c r="BM205" i="8" s="1"/>
  <c r="BL346" i="8"/>
  <c r="BK346" i="8"/>
  <c r="BK241" i="8"/>
  <c r="BL301" i="8"/>
  <c r="BM301" i="8" s="1"/>
  <c r="BK301" i="8"/>
  <c r="BL375" i="8"/>
  <c r="BK375" i="8"/>
  <c r="BK326" i="8"/>
  <c r="BL326" i="8"/>
  <c r="BL345" i="8"/>
  <c r="BK345" i="8"/>
  <c r="BL30" i="8"/>
  <c r="BM30" i="8" s="1"/>
  <c r="BK30" i="8"/>
  <c r="BK180" i="8"/>
  <c r="BL180" i="8"/>
  <c r="BM180" i="8" s="1"/>
  <c r="BL322" i="8"/>
  <c r="BK322" i="8"/>
  <c r="BK159" i="8"/>
  <c r="BL159" i="8"/>
  <c r="BM159" i="8" s="1"/>
  <c r="BK289" i="8"/>
  <c r="BL289" i="8"/>
  <c r="BM289" i="8" s="1"/>
  <c r="BL275" i="8"/>
  <c r="BM275" i="8" s="1"/>
  <c r="BK275" i="8"/>
  <c r="BK127" i="8"/>
  <c r="BL127" i="8"/>
  <c r="BM127" i="8" s="1"/>
  <c r="BK291" i="8"/>
  <c r="BL291" i="8"/>
  <c r="BM291" i="8" s="1"/>
  <c r="BL338" i="8"/>
  <c r="BK338" i="8"/>
  <c r="BK244" i="8"/>
  <c r="BL244" i="8"/>
  <c r="BM244" i="8" s="1"/>
  <c r="BK316" i="8"/>
  <c r="BL316" i="8"/>
  <c r="BM316" i="8" s="1"/>
  <c r="BL367" i="8"/>
  <c r="BK367" i="8"/>
  <c r="BL155" i="8"/>
  <c r="BM155" i="8" s="1"/>
  <c r="BK155" i="8"/>
  <c r="BK44" i="8"/>
  <c r="BL44" i="8"/>
  <c r="BM44" i="8" s="1"/>
  <c r="BK239" i="8"/>
  <c r="BL239" i="8"/>
  <c r="BM239" i="8" s="1"/>
  <c r="BK185" i="8"/>
  <c r="BL185" i="8"/>
  <c r="BM185" i="8" s="1"/>
  <c r="BL313" i="8"/>
  <c r="BM313" i="8" s="1"/>
  <c r="BK313" i="8"/>
  <c r="BK33" i="8"/>
  <c r="BL33" i="8"/>
  <c r="BM33" i="8" s="1"/>
  <c r="BK147" i="8"/>
  <c r="BL147" i="8"/>
  <c r="BM147" i="8" s="1"/>
  <c r="BK342" i="8"/>
  <c r="BL342" i="8"/>
  <c r="BK129" i="8"/>
  <c r="BL129" i="8"/>
  <c r="BM129" i="8" s="1"/>
  <c r="BK214" i="8"/>
  <c r="BL214" i="8"/>
  <c r="BM214" i="8" s="1"/>
  <c r="BK42" i="8"/>
  <c r="BL42" i="8"/>
  <c r="BM42" i="8" s="1"/>
  <c r="BK361" i="8"/>
  <c r="BL361" i="8"/>
  <c r="BL216" i="8"/>
  <c r="BM216" i="8" s="1"/>
  <c r="BK207" i="8"/>
  <c r="BL207" i="8"/>
  <c r="BM207" i="8" s="1"/>
  <c r="BL260" i="8"/>
  <c r="BM260" i="8" s="1"/>
  <c r="BK260" i="8"/>
  <c r="BK104" i="8"/>
  <c r="BL104" i="8"/>
  <c r="BM104" i="8" s="1"/>
  <c r="BJ250" i="8"/>
  <c r="BK179" i="8"/>
  <c r="BL179" i="8"/>
  <c r="BM179" i="8" s="1"/>
  <c r="BK286" i="8"/>
  <c r="BL286" i="8"/>
  <c r="BM286" i="8" s="1"/>
  <c r="BL48" i="8"/>
  <c r="BM48" i="8" s="1"/>
  <c r="BK48" i="8"/>
  <c r="BK252" i="8"/>
  <c r="BL252" i="8"/>
  <c r="BM252" i="8" s="1"/>
  <c r="BK251" i="8"/>
  <c r="BL251" i="8"/>
  <c r="BM251" i="8" s="1"/>
  <c r="BL175" i="8"/>
  <c r="BM175" i="8" s="1"/>
  <c r="BK175" i="8"/>
  <c r="BL169" i="8"/>
  <c r="BM169" i="8" s="1"/>
  <c r="BK169" i="8"/>
  <c r="BK32" i="8"/>
  <c r="BL32" i="8"/>
  <c r="BM32" i="8" s="1"/>
  <c r="BK38" i="8"/>
  <c r="BL38" i="8"/>
  <c r="BM38" i="8" s="1"/>
  <c r="BL282" i="8"/>
  <c r="BM282" i="8" s="1"/>
  <c r="BK282" i="8"/>
  <c r="BJ135" i="8"/>
  <c r="BJ212" i="8"/>
  <c r="BJ232" i="8"/>
  <c r="BJ292" i="8"/>
  <c r="BJ79" i="8"/>
  <c r="BJ226" i="8"/>
  <c r="BK26" i="8"/>
  <c r="BL26" i="8"/>
  <c r="BM26" i="8" s="1"/>
  <c r="BK310" i="8"/>
  <c r="BL310" i="8"/>
  <c r="BM310" i="8" s="1"/>
  <c r="BL340" i="8"/>
  <c r="BK340" i="8"/>
  <c r="BK218" i="8"/>
  <c r="BL218" i="8"/>
  <c r="BM218" i="8" s="1"/>
  <c r="BK102" i="8"/>
  <c r="BL102" i="8"/>
  <c r="BM102" i="8" s="1"/>
  <c r="BK25" i="8"/>
  <c r="BL25" i="8"/>
  <c r="BM25" i="8" s="1"/>
  <c r="BK335" i="8"/>
  <c r="BL335" i="8"/>
  <c r="BJ267" i="8"/>
  <c r="BJ54" i="8"/>
  <c r="BJ202" i="8"/>
  <c r="BK187" i="8"/>
  <c r="BL187" i="8"/>
  <c r="BM187" i="8" s="1"/>
  <c r="BK148" i="8"/>
  <c r="BL148" i="8"/>
  <c r="BM148" i="8" s="1"/>
  <c r="BK46" i="8"/>
  <c r="BL46" i="8"/>
  <c r="BM46" i="8" s="1"/>
  <c r="BL136" i="8"/>
  <c r="BM136" i="8" s="1"/>
  <c r="BK136" i="8"/>
  <c r="BL15" i="8"/>
  <c r="BM15" i="8" s="1"/>
  <c r="BK15" i="8"/>
  <c r="BK109" i="8"/>
  <c r="BL109" i="8"/>
  <c r="BM109" i="8" s="1"/>
  <c r="BK66" i="8"/>
  <c r="BL66" i="8"/>
  <c r="BM66" i="8" s="1"/>
  <c r="BK108" i="8"/>
  <c r="BL108" i="8"/>
  <c r="BM108" i="8" s="1"/>
  <c r="BK45" i="8"/>
  <c r="BL45" i="8"/>
  <c r="BM45" i="8" s="1"/>
  <c r="BK273" i="8"/>
  <c r="BL273" i="8"/>
  <c r="BM273" i="8" s="1"/>
  <c r="BL277" i="8"/>
  <c r="BM277" i="8" s="1"/>
  <c r="BK277" i="8"/>
  <c r="BJ36" i="8"/>
  <c r="BJ121" i="8"/>
  <c r="BJ209" i="8"/>
  <c r="BJ61" i="8"/>
  <c r="BJ156" i="8"/>
  <c r="BJ173" i="8"/>
  <c r="BJ242" i="8"/>
  <c r="BJ29" i="8"/>
  <c r="BJ178" i="8"/>
  <c r="BK110" i="8"/>
  <c r="BL110" i="8"/>
  <c r="BM110" i="8" s="1"/>
  <c r="BL73" i="8"/>
  <c r="BM73" i="8" s="1"/>
  <c r="BK150" i="8"/>
  <c r="BL150" i="8"/>
  <c r="BM150" i="8" s="1"/>
  <c r="BL339" i="8"/>
  <c r="BK339" i="8"/>
  <c r="BK94" i="8"/>
  <c r="BL94" i="8"/>
  <c r="BM94" i="8" s="1"/>
  <c r="BL119" i="8"/>
  <c r="BM119" i="8" s="1"/>
  <c r="BK119" i="8"/>
  <c r="BL288" i="8"/>
  <c r="BM288" i="8" s="1"/>
  <c r="BL369" i="8"/>
  <c r="BK369" i="8"/>
  <c r="BK74" i="8"/>
  <c r="BL74" i="8"/>
  <c r="BM74" i="8" s="1"/>
  <c r="BJ201" i="8"/>
  <c r="BJ123" i="8"/>
  <c r="BJ233" i="8"/>
  <c r="BJ171" i="8"/>
  <c r="BJ125" i="8"/>
  <c r="BJ145" i="8"/>
  <c r="BJ217" i="8"/>
  <c r="BJ379" i="8"/>
  <c r="BJ154" i="8"/>
  <c r="BK281" i="8"/>
  <c r="BL281" i="8"/>
  <c r="BM281" i="8" s="1"/>
  <c r="BK295" i="8"/>
  <c r="BL295" i="8"/>
  <c r="BM295" i="8" s="1"/>
  <c r="BL336" i="8"/>
  <c r="BK336" i="8"/>
  <c r="BL256" i="8"/>
  <c r="BM256" i="8" s="1"/>
  <c r="BK256" i="8"/>
  <c r="BL158" i="8"/>
  <c r="BM158" i="8" s="1"/>
  <c r="BK158" i="8"/>
  <c r="BL186" i="8"/>
  <c r="BM186" i="8" s="1"/>
  <c r="BK186" i="8"/>
  <c r="BL83" i="8"/>
  <c r="BM83" i="8" s="1"/>
  <c r="BK83" i="8"/>
  <c r="BL141" i="8"/>
  <c r="BM141" i="8" s="1"/>
  <c r="BK141" i="8"/>
  <c r="BK111" i="8"/>
  <c r="BL111" i="8"/>
  <c r="BM111" i="8" s="1"/>
  <c r="BL194" i="8"/>
  <c r="BM194" i="8" s="1"/>
  <c r="BK194" i="8"/>
  <c r="BK236" i="8"/>
  <c r="BL236" i="8"/>
  <c r="BM236" i="8" s="1"/>
  <c r="BJ184" i="8"/>
  <c r="BJ360" i="8"/>
  <c r="BJ97" i="8"/>
  <c r="BJ354" i="8"/>
  <c r="BJ130" i="8"/>
  <c r="BK368" i="8"/>
  <c r="BL368" i="8"/>
  <c r="BM368" i="8" s="1"/>
  <c r="BK120" i="8"/>
  <c r="BL120" i="8"/>
  <c r="BM120" i="8" s="1"/>
  <c r="BL319" i="8"/>
  <c r="BK319" i="8"/>
  <c r="BK237" i="8"/>
  <c r="BL237" i="8"/>
  <c r="BM237" i="8" s="1"/>
  <c r="BL90" i="8"/>
  <c r="BM90" i="8" s="1"/>
  <c r="BK90" i="8"/>
  <c r="BK138" i="8"/>
  <c r="BL138" i="8"/>
  <c r="BM138" i="8" s="1"/>
  <c r="BK366" i="8"/>
  <c r="BL366" i="8"/>
  <c r="BK18" i="8"/>
  <c r="BL18" i="8"/>
  <c r="BM18" i="8" s="1"/>
  <c r="BJ258" i="8"/>
  <c r="BJ312" i="8"/>
  <c r="BJ164" i="8"/>
  <c r="BJ188" i="8"/>
  <c r="BJ337" i="8"/>
  <c r="BJ88" i="8"/>
  <c r="BJ167" i="8"/>
  <c r="BJ329" i="8"/>
  <c r="BJ106" i="8"/>
  <c r="BL221" i="8"/>
  <c r="BM221" i="8" s="1"/>
  <c r="BK221" i="8"/>
  <c r="BL49" i="8"/>
  <c r="BM49" i="8" s="1"/>
  <c r="BK49" i="8"/>
  <c r="BL203" i="8"/>
  <c r="BM203" i="8" s="1"/>
  <c r="BK203" i="8"/>
  <c r="BK161" i="8"/>
  <c r="BL161" i="8"/>
  <c r="BM161" i="8" s="1"/>
  <c r="BL350" i="8"/>
  <c r="BK350" i="8"/>
  <c r="BK278" i="8"/>
  <c r="BL278" i="8"/>
  <c r="BM278" i="8" s="1"/>
  <c r="BL284" i="8"/>
  <c r="BM284" i="8" s="1"/>
  <c r="BK284" i="8"/>
  <c r="BK133" i="8"/>
  <c r="BL133" i="8"/>
  <c r="BM133" i="8" s="1"/>
  <c r="BJ246" i="8"/>
  <c r="BJ363" i="8"/>
  <c r="BJ249" i="8"/>
  <c r="BJ328" i="8"/>
  <c r="BJ365" i="8"/>
  <c r="BJ304" i="8"/>
  <c r="BJ82" i="8"/>
  <c r="BL308" i="8"/>
  <c r="BM308" i="8" s="1"/>
  <c r="BK308" i="8"/>
  <c r="BL347" i="8"/>
  <c r="BK347" i="8"/>
  <c r="BL223" i="8"/>
  <c r="BM223" i="8" s="1"/>
  <c r="BK223" i="8"/>
  <c r="BK199" i="8"/>
  <c r="BL199" i="8"/>
  <c r="BM199" i="8" s="1"/>
  <c r="BL50" i="8"/>
  <c r="BM50" i="8" s="1"/>
  <c r="BK50" i="8"/>
  <c r="BK176" i="8"/>
  <c r="BL176" i="8"/>
  <c r="BM176" i="8" s="1"/>
  <c r="BL43" i="8"/>
  <c r="BM43" i="8" s="1"/>
  <c r="BK43" i="8"/>
  <c r="BK55" i="8"/>
  <c r="BL55" i="8"/>
  <c r="BM55" i="8" s="1"/>
  <c r="BK64" i="8"/>
  <c r="BL64" i="8"/>
  <c r="BM64" i="8" s="1"/>
  <c r="BK352" i="8"/>
  <c r="BL352" i="8"/>
  <c r="BJ168" i="8"/>
  <c r="BJ300" i="8"/>
  <c r="BJ85" i="8"/>
  <c r="BJ21" i="8"/>
  <c r="BJ377" i="8"/>
  <c r="BJ140" i="8"/>
  <c r="BJ131" i="8"/>
  <c r="BJ47" i="8"/>
  <c r="BJ149" i="8"/>
  <c r="BJ137" i="8"/>
  <c r="BJ192" i="8"/>
  <c r="BJ276" i="8"/>
  <c r="BJ215" i="8"/>
  <c r="BJ190" i="8"/>
  <c r="BJ101" i="8"/>
  <c r="BJ69" i="8"/>
  <c r="BJ166" i="8"/>
  <c r="BJ107" i="8"/>
  <c r="BJ302" i="8"/>
  <c r="BJ219" i="8"/>
  <c r="BJ23" i="8"/>
  <c r="BJ60" i="8"/>
  <c r="BJ56" i="8"/>
  <c r="BJ248" i="8"/>
  <c r="BJ16" i="8"/>
  <c r="BJ264" i="8"/>
  <c r="BJ118" i="8"/>
  <c r="BJ332" i="8"/>
  <c r="BJ182" i="8"/>
  <c r="BJ24" i="8"/>
  <c r="BJ357" i="8"/>
  <c r="BJ353" i="8"/>
  <c r="BJ31" i="8"/>
  <c r="BJ117" i="8"/>
  <c r="BJ279" i="8"/>
  <c r="BJ58" i="8"/>
  <c r="BL320" i="8"/>
  <c r="BK320" i="8"/>
  <c r="BK245" i="8"/>
  <c r="BL245" i="8"/>
  <c r="BM245" i="8" s="1"/>
  <c r="BK84" i="8"/>
  <c r="BL84" i="8"/>
  <c r="BM84" i="8" s="1"/>
  <c r="BK114" i="8"/>
  <c r="BL114" i="8"/>
  <c r="BM114" i="8" s="1"/>
  <c r="BK220" i="8"/>
  <c r="BL220" i="8"/>
  <c r="BM220" i="8" s="1"/>
  <c r="BK343" i="8"/>
  <c r="BL343" i="8"/>
  <c r="BK318" i="8"/>
  <c r="BL318" i="8"/>
  <c r="BM318" i="8" s="1"/>
  <c r="BK65" i="8"/>
  <c r="BL65" i="8"/>
  <c r="BM65" i="8" s="1"/>
  <c r="BJ99" i="8"/>
  <c r="BJ198" i="8"/>
  <c r="BJ57" i="8"/>
  <c r="BJ262" i="8"/>
  <c r="BJ206" i="8"/>
  <c r="BJ321" i="8"/>
  <c r="BJ224" i="8"/>
  <c r="BJ290" i="8"/>
  <c r="BJ81" i="8"/>
  <c r="BJ116" i="8"/>
  <c r="BJ95" i="8"/>
  <c r="BJ27" i="8"/>
  <c r="BJ91" i="8"/>
  <c r="BJ76" i="8"/>
  <c r="BJ253" i="8"/>
  <c r="BJ51" i="8"/>
  <c r="BJ307" i="8"/>
  <c r="BJ359" i="8"/>
  <c r="BJ52" i="8"/>
  <c r="BJ151" i="8"/>
  <c r="BJ63" i="8"/>
  <c r="BJ40" i="8"/>
  <c r="BJ142" i="8"/>
  <c r="BJ196" i="8"/>
  <c r="BJ349" i="8"/>
  <c r="BJ89" i="8"/>
  <c r="BJ376" i="8"/>
  <c r="BJ139" i="8"/>
  <c r="BJ348" i="8"/>
  <c r="BJ378" i="8"/>
  <c r="BJ227" i="8"/>
  <c r="BJ80" i="8"/>
  <c r="BJ293" i="8"/>
  <c r="BJ146" i="8"/>
  <c r="BJ351" i="8"/>
  <c r="BJ327" i="8"/>
  <c r="BJ325" i="8"/>
  <c r="BJ373" i="8"/>
  <c r="BJ92" i="8"/>
  <c r="BJ254" i="8"/>
  <c r="BJ34" i="8"/>
  <c r="BL14" i="8"/>
  <c r="BJ7" i="8"/>
  <c r="BJ11" i="8"/>
  <c r="BJ5" i="8"/>
  <c r="BJ9" i="8"/>
  <c r="BJ13" i="8"/>
  <c r="BJ12" i="8"/>
  <c r="BK12" i="8" s="1"/>
  <c r="BJ8" i="8"/>
  <c r="BL8" i="8" s="1"/>
  <c r="BJ10" i="8"/>
  <c r="BL10" i="8" s="1"/>
  <c r="BJ6" i="8"/>
  <c r="BL6" i="8" s="1"/>
  <c r="B18" i="3"/>
  <c r="B48" i="3" a="1"/>
  <c r="B48" i="3" s="1"/>
  <c r="A48" i="3" a="1"/>
  <c r="A48" i="3" s="1"/>
  <c r="BK14" i="8"/>
  <c r="BM320" i="8" l="1"/>
  <c r="BM335" i="8"/>
  <c r="BL372" i="8"/>
  <c r="BM372" i="8" s="1"/>
  <c r="BM347" i="8"/>
  <c r="BM345" i="8"/>
  <c r="BM369" i="8"/>
  <c r="BM371" i="8"/>
  <c r="BM323" i="8"/>
  <c r="BL191" i="8"/>
  <c r="BM191" i="8" s="1"/>
  <c r="BM319" i="8"/>
  <c r="BK306" i="8"/>
  <c r="BL68" i="8"/>
  <c r="BM68" i="8" s="1"/>
  <c r="BM367" i="8"/>
  <c r="BM346" i="8"/>
  <c r="BM370" i="8"/>
  <c r="BL265" i="8"/>
  <c r="BM265" i="8" s="1"/>
  <c r="BK303" i="8"/>
  <c r="BL297" i="8"/>
  <c r="BM297" i="8" s="1"/>
  <c r="BL96" i="8"/>
  <c r="BM96" i="8" s="1"/>
  <c r="BK177" i="8"/>
  <c r="BL93" i="8"/>
  <c r="BM93" i="8" s="1"/>
  <c r="BM344" i="8"/>
  <c r="BM339" i="8"/>
  <c r="BL132" i="8"/>
  <c r="BM132" i="8" s="1"/>
  <c r="BL324" i="8"/>
  <c r="BM324" i="8" s="1"/>
  <c r="BK20" i="8"/>
  <c r="BK197" i="8"/>
  <c r="BK165" i="8"/>
  <c r="BM340" i="8"/>
  <c r="BL271" i="8"/>
  <c r="BM271" i="8" s="1"/>
  <c r="BL134" i="8"/>
  <c r="BM134" i="8" s="1"/>
  <c r="BM343" i="8"/>
  <c r="BM336" i="8"/>
  <c r="BM375" i="8"/>
  <c r="BL77" i="8"/>
  <c r="BM77" i="8" s="1"/>
  <c r="BL28" i="8"/>
  <c r="BM28" i="8" s="1"/>
  <c r="BL35" i="8"/>
  <c r="BM35" i="8" s="1"/>
  <c r="BK230" i="8"/>
  <c r="BL59" i="8"/>
  <c r="BM59" i="8" s="1"/>
  <c r="BL311" i="8"/>
  <c r="BM311" i="8" s="1"/>
  <c r="BL163" i="8"/>
  <c r="BM163" i="8" s="1"/>
  <c r="BK228" i="8"/>
  <c r="BL305" i="8"/>
  <c r="BM305" i="8" s="1"/>
  <c r="BL113" i="8"/>
  <c r="BM113" i="8" s="1"/>
  <c r="BL296" i="8"/>
  <c r="BM296" i="8" s="1"/>
  <c r="BL238" i="8"/>
  <c r="BM238" i="8" s="1"/>
  <c r="BK274" i="8"/>
  <c r="BL200" i="8"/>
  <c r="BM200" i="8" s="1"/>
  <c r="BL263" i="8"/>
  <c r="BM263" i="8" s="1"/>
  <c r="BL152" i="8"/>
  <c r="BM152" i="8" s="1"/>
  <c r="BK259" i="8"/>
  <c r="BK374" i="8"/>
  <c r="BL355" i="8"/>
  <c r="BK298" i="8"/>
  <c r="BL330" i="8"/>
  <c r="BK67" i="8"/>
  <c r="BK257" i="8"/>
  <c r="BL317" i="8"/>
  <c r="BM317" i="8" s="1"/>
  <c r="BL234" i="8"/>
  <c r="BM234" i="8" s="1"/>
  <c r="BL17" i="8"/>
  <c r="BM17" i="8" s="1"/>
  <c r="BL160" i="8"/>
  <c r="BM160" i="8" s="1"/>
  <c r="BK283" i="8"/>
  <c r="BK143" i="8"/>
  <c r="BL213" i="8"/>
  <c r="BM213" i="8" s="1"/>
  <c r="BK243" i="8"/>
  <c r="BL270" i="8"/>
  <c r="BM270" i="8" s="1"/>
  <c r="BK222" i="8"/>
  <c r="BL333" i="8"/>
  <c r="BK122" i="8"/>
  <c r="BK309" i="8"/>
  <c r="BL162" i="8"/>
  <c r="BM162" i="8" s="1"/>
  <c r="BK240" i="8"/>
  <c r="BK382" i="8"/>
  <c r="BL382" i="8"/>
  <c r="BK384" i="8"/>
  <c r="BL384" i="8"/>
  <c r="BK383" i="8"/>
  <c r="BL383" i="8"/>
  <c r="BL268" i="8"/>
  <c r="BM268" i="8" s="1"/>
  <c r="BL272" i="8"/>
  <c r="BM272" i="8" s="1"/>
  <c r="BK170" i="8"/>
  <c r="BL75" i="8"/>
  <c r="BM75" i="8" s="1"/>
  <c r="BL181" i="8"/>
  <c r="BM181" i="8" s="1"/>
  <c r="BL208" i="8"/>
  <c r="BM208" i="8" s="1"/>
  <c r="BL362" i="8"/>
  <c r="BM362" i="8" s="1"/>
  <c r="BL266" i="8"/>
  <c r="BM266" i="8" s="1"/>
  <c r="BK358" i="8"/>
  <c r="BK72" i="8"/>
  <c r="BL294" i="8"/>
  <c r="BM294" i="8" s="1"/>
  <c r="BL341" i="8"/>
  <c r="BM341" i="8" s="1"/>
  <c r="BK174" i="8"/>
  <c r="BK269" i="8"/>
  <c r="BK381" i="8"/>
  <c r="BL381" i="8"/>
  <c r="BM381" i="8" s="1"/>
  <c r="BL299" i="8"/>
  <c r="BM299" i="8" s="1"/>
  <c r="BL39" i="8"/>
  <c r="BM39" i="8" s="1"/>
  <c r="BL225" i="8"/>
  <c r="BM225" i="8" s="1"/>
  <c r="BK210" i="8"/>
  <c r="BL247" i="8"/>
  <c r="BM247" i="8" s="1"/>
  <c r="BK323" i="8"/>
  <c r="BK351" i="8"/>
  <c r="BL351" i="8"/>
  <c r="BM351" i="8" s="1"/>
  <c r="BL178" i="8"/>
  <c r="BM178" i="8" s="1"/>
  <c r="BK178" i="8"/>
  <c r="BL250" i="8"/>
  <c r="BM250" i="8" s="1"/>
  <c r="BK250" i="8"/>
  <c r="BK81" i="8"/>
  <c r="BL81" i="8"/>
  <c r="BM81" i="8" s="1"/>
  <c r="BL329" i="8"/>
  <c r="BK329" i="8"/>
  <c r="BL242" i="8"/>
  <c r="BM242" i="8" s="1"/>
  <c r="BK242" i="8"/>
  <c r="BL302" i="8"/>
  <c r="BM302" i="8" s="1"/>
  <c r="BK302" i="8"/>
  <c r="BL173" i="8"/>
  <c r="BM173" i="8" s="1"/>
  <c r="BK173" i="8"/>
  <c r="BK88" i="8"/>
  <c r="BL88" i="8"/>
  <c r="BM88" i="8" s="1"/>
  <c r="BL156" i="8"/>
  <c r="BM156" i="8" s="1"/>
  <c r="BK156" i="8"/>
  <c r="BL337" i="8"/>
  <c r="BM337" i="8" s="1"/>
  <c r="BK337" i="8"/>
  <c r="BL61" i="8"/>
  <c r="BM61" i="8" s="1"/>
  <c r="BK61" i="8"/>
  <c r="BK56" i="8"/>
  <c r="BL56" i="8"/>
  <c r="BM56" i="8" s="1"/>
  <c r="BK188" i="8"/>
  <c r="BL188" i="8"/>
  <c r="BM188" i="8" s="1"/>
  <c r="BL209" i="8"/>
  <c r="BM209" i="8" s="1"/>
  <c r="BK209" i="8"/>
  <c r="BK293" i="8"/>
  <c r="BL293" i="8"/>
  <c r="BM293" i="8" s="1"/>
  <c r="BK246" i="8"/>
  <c r="BL246" i="8"/>
  <c r="BM246" i="8" s="1"/>
  <c r="BK57" i="8"/>
  <c r="BL57" i="8"/>
  <c r="BM57" i="8" s="1"/>
  <c r="BK164" i="8"/>
  <c r="BL164" i="8"/>
  <c r="BM164" i="8" s="1"/>
  <c r="BK121" i="8"/>
  <c r="BL121" i="8"/>
  <c r="BM121" i="8" s="1"/>
  <c r="BK304" i="8"/>
  <c r="BL304" i="8"/>
  <c r="BM304" i="8" s="1"/>
  <c r="BK60" i="8"/>
  <c r="BL60" i="8"/>
  <c r="BM60" i="8" s="1"/>
  <c r="BL312" i="8"/>
  <c r="BM312" i="8" s="1"/>
  <c r="BK312" i="8"/>
  <c r="BL130" i="8"/>
  <c r="BM130" i="8" s="1"/>
  <c r="BK130" i="8"/>
  <c r="BK36" i="8"/>
  <c r="BL36" i="8"/>
  <c r="BM36" i="8" s="1"/>
  <c r="BL249" i="8"/>
  <c r="BM249" i="8" s="1"/>
  <c r="BK249" i="8"/>
  <c r="BK376" i="8"/>
  <c r="BL376" i="8"/>
  <c r="BM376" i="8" s="1"/>
  <c r="BK354" i="8"/>
  <c r="BL354" i="8"/>
  <c r="BL328" i="8"/>
  <c r="BK328" i="8"/>
  <c r="BK378" i="8"/>
  <c r="BL378" i="8"/>
  <c r="BL258" i="8"/>
  <c r="BM258" i="8" s="1"/>
  <c r="BK258" i="8"/>
  <c r="BK196" i="8"/>
  <c r="BL196" i="8"/>
  <c r="BM196" i="8" s="1"/>
  <c r="BL58" i="8"/>
  <c r="BM58" i="8" s="1"/>
  <c r="BK58" i="8"/>
  <c r="BL276" i="8"/>
  <c r="BM276" i="8" s="1"/>
  <c r="BK276" i="8"/>
  <c r="BK97" i="8"/>
  <c r="BL97" i="8"/>
  <c r="BM97" i="8" s="1"/>
  <c r="BL29" i="8"/>
  <c r="BM29" i="8" s="1"/>
  <c r="BK29" i="8"/>
  <c r="BK279" i="8"/>
  <c r="BL279" i="8"/>
  <c r="BM279" i="8" s="1"/>
  <c r="BK360" i="8"/>
  <c r="BL360" i="8"/>
  <c r="BM361" i="8" s="1"/>
  <c r="BK167" i="8"/>
  <c r="BL167" i="8"/>
  <c r="BM167" i="8" s="1"/>
  <c r="BL99" i="8"/>
  <c r="BM99" i="8" s="1"/>
  <c r="BK99" i="8"/>
  <c r="BK192" i="8"/>
  <c r="BL192" i="8"/>
  <c r="BM192" i="8" s="1"/>
  <c r="BL40" i="8"/>
  <c r="BM40" i="8" s="1"/>
  <c r="BK40" i="8"/>
  <c r="BL117" i="8"/>
  <c r="BM117" i="8" s="1"/>
  <c r="BK117" i="8"/>
  <c r="BL137" i="8"/>
  <c r="BM137" i="8" s="1"/>
  <c r="BK137" i="8"/>
  <c r="BK184" i="8"/>
  <c r="BL184" i="8"/>
  <c r="BM184" i="8" s="1"/>
  <c r="BK146" i="8"/>
  <c r="BL146" i="8"/>
  <c r="BM146" i="8" s="1"/>
  <c r="BK363" i="8"/>
  <c r="BL363" i="8"/>
  <c r="BK69" i="8"/>
  <c r="BL69" i="8"/>
  <c r="BM69" i="8" s="1"/>
  <c r="BL154" i="8"/>
  <c r="BM154" i="8" s="1"/>
  <c r="BK154" i="8"/>
  <c r="BK80" i="8"/>
  <c r="BL80" i="8"/>
  <c r="BM80" i="8" s="1"/>
  <c r="BK348" i="8"/>
  <c r="BL348" i="8"/>
  <c r="BM348" i="8" s="1"/>
  <c r="BK353" i="8"/>
  <c r="BL353" i="8"/>
  <c r="BM353" i="8" s="1"/>
  <c r="BK379" i="8"/>
  <c r="BL379" i="8"/>
  <c r="BL226" i="8"/>
  <c r="BM226" i="8" s="1"/>
  <c r="BK226" i="8"/>
  <c r="BK365" i="8"/>
  <c r="BL365" i="8"/>
  <c r="BM365" i="8" s="1"/>
  <c r="BK290" i="8"/>
  <c r="BL290" i="8"/>
  <c r="BM290" i="8" s="1"/>
  <c r="BK198" i="8"/>
  <c r="BL198" i="8"/>
  <c r="BM198" i="8" s="1"/>
  <c r="BL357" i="8"/>
  <c r="BM357" i="8" s="1"/>
  <c r="BK357" i="8"/>
  <c r="BK131" i="8"/>
  <c r="BL131" i="8"/>
  <c r="BM131" i="8" s="1"/>
  <c r="BK217" i="8"/>
  <c r="BL217" i="8"/>
  <c r="BM217" i="8" s="1"/>
  <c r="BK202" i="8"/>
  <c r="BL202" i="8"/>
  <c r="BM202" i="8" s="1"/>
  <c r="BK79" i="8"/>
  <c r="BL79" i="8"/>
  <c r="BM79" i="8" s="1"/>
  <c r="BK139" i="8"/>
  <c r="BL139" i="8"/>
  <c r="BM139" i="8" s="1"/>
  <c r="BK63" i="8"/>
  <c r="BL63" i="8"/>
  <c r="BM63" i="8" s="1"/>
  <c r="BL140" i="8"/>
  <c r="BM140" i="8" s="1"/>
  <c r="BK140" i="8"/>
  <c r="BL145" i="8"/>
  <c r="BM145" i="8" s="1"/>
  <c r="BK145" i="8"/>
  <c r="BL54" i="8"/>
  <c r="BM54" i="8" s="1"/>
  <c r="BK54" i="8"/>
  <c r="BL292" i="8"/>
  <c r="BM292" i="8" s="1"/>
  <c r="BK292" i="8"/>
  <c r="BL116" i="8"/>
  <c r="BM116" i="8" s="1"/>
  <c r="BK116" i="8"/>
  <c r="BK227" i="8"/>
  <c r="BL227" i="8"/>
  <c r="BM227" i="8" s="1"/>
  <c r="BL101" i="8"/>
  <c r="BM101" i="8" s="1"/>
  <c r="BK101" i="8"/>
  <c r="BL125" i="8"/>
  <c r="BM125" i="8" s="1"/>
  <c r="BK125" i="8"/>
  <c r="BK267" i="8"/>
  <c r="BL267" i="8"/>
  <c r="BM267" i="8" s="1"/>
  <c r="BL232" i="8"/>
  <c r="BM232" i="8" s="1"/>
  <c r="BK232" i="8"/>
  <c r="BK95" i="8"/>
  <c r="BL95" i="8"/>
  <c r="BM95" i="8" s="1"/>
  <c r="BK224" i="8"/>
  <c r="BL224" i="8"/>
  <c r="BM224" i="8" s="1"/>
  <c r="BL107" i="8"/>
  <c r="BM107" i="8" s="1"/>
  <c r="BK107" i="8"/>
  <c r="BK190" i="8"/>
  <c r="BL190" i="8"/>
  <c r="BM190" i="8" s="1"/>
  <c r="BL142" i="8"/>
  <c r="BM142" i="8" s="1"/>
  <c r="BK142" i="8"/>
  <c r="BL31" i="8"/>
  <c r="BM31" i="8" s="1"/>
  <c r="BK31" i="8"/>
  <c r="BK377" i="8"/>
  <c r="BL377" i="8"/>
  <c r="BM377" i="8" s="1"/>
  <c r="BK332" i="8"/>
  <c r="BL332" i="8"/>
  <c r="BM332" i="8" s="1"/>
  <c r="BL21" i="8"/>
  <c r="BM21" i="8" s="1"/>
  <c r="BK21" i="8"/>
  <c r="BL171" i="8"/>
  <c r="BM171" i="8" s="1"/>
  <c r="BK171" i="8"/>
  <c r="BK212" i="8"/>
  <c r="BL212" i="8"/>
  <c r="BM212" i="8" s="1"/>
  <c r="BL166" i="8"/>
  <c r="BM166" i="8" s="1"/>
  <c r="BK166" i="8"/>
  <c r="BK89" i="8"/>
  <c r="BL89" i="8"/>
  <c r="BM89" i="8" s="1"/>
  <c r="BK149" i="8"/>
  <c r="BL149" i="8"/>
  <c r="BM149" i="8" s="1"/>
  <c r="BK359" i="8"/>
  <c r="BL359" i="8"/>
  <c r="BM359" i="8" s="1"/>
  <c r="BK24" i="8"/>
  <c r="BL24" i="8"/>
  <c r="BM24" i="8" s="1"/>
  <c r="BL34" i="8"/>
  <c r="BM34" i="8" s="1"/>
  <c r="BK34" i="8"/>
  <c r="BL254" i="8"/>
  <c r="BM254" i="8" s="1"/>
  <c r="BK254" i="8"/>
  <c r="BK92" i="8"/>
  <c r="BL92" i="8"/>
  <c r="BM92" i="8" s="1"/>
  <c r="BK85" i="8"/>
  <c r="BL85" i="8"/>
  <c r="BM85" i="8" s="1"/>
  <c r="BL233" i="8"/>
  <c r="BM233" i="8" s="1"/>
  <c r="BK233" i="8"/>
  <c r="BK135" i="8"/>
  <c r="BL135" i="8"/>
  <c r="BM135" i="8" s="1"/>
  <c r="BL106" i="8"/>
  <c r="BM106" i="8" s="1"/>
  <c r="BK106" i="8"/>
  <c r="BK321" i="8"/>
  <c r="BL321" i="8"/>
  <c r="BM321" i="8" s="1"/>
  <c r="BK151" i="8"/>
  <c r="BL151" i="8"/>
  <c r="BM151" i="8" s="1"/>
  <c r="BK47" i="8"/>
  <c r="BL47" i="8"/>
  <c r="BM47" i="8" s="1"/>
  <c r="BK52" i="8"/>
  <c r="BL52" i="8"/>
  <c r="BM52" i="8" s="1"/>
  <c r="BK307" i="8"/>
  <c r="BL307" i="8"/>
  <c r="BM307" i="8" s="1"/>
  <c r="BK253" i="8"/>
  <c r="BL253" i="8"/>
  <c r="BM253" i="8" s="1"/>
  <c r="BK123" i="8"/>
  <c r="BL123" i="8"/>
  <c r="BM123" i="8" s="1"/>
  <c r="BK23" i="8"/>
  <c r="BL23" i="8"/>
  <c r="BM23" i="8" s="1"/>
  <c r="BL206" i="8"/>
  <c r="BM206" i="8" s="1"/>
  <c r="BK206" i="8"/>
  <c r="BK349" i="8"/>
  <c r="BL349" i="8"/>
  <c r="BM349" i="8" s="1"/>
  <c r="BK51" i="8"/>
  <c r="BL51" i="8"/>
  <c r="BM51" i="8" s="1"/>
  <c r="BK373" i="8"/>
  <c r="BL373" i="8"/>
  <c r="BM373" i="8" s="1"/>
  <c r="BK300" i="8"/>
  <c r="BL300" i="8"/>
  <c r="BM300" i="8" s="1"/>
  <c r="BK325" i="8"/>
  <c r="BL325" i="8"/>
  <c r="BM325" i="8" s="1"/>
  <c r="BL91" i="8"/>
  <c r="BM91" i="8" s="1"/>
  <c r="BK91" i="8"/>
  <c r="BK16" i="8"/>
  <c r="BL16" i="8"/>
  <c r="BM16" i="8" s="1"/>
  <c r="BL168" i="8"/>
  <c r="BM168" i="8" s="1"/>
  <c r="BK168" i="8"/>
  <c r="BK201" i="8"/>
  <c r="BL201" i="8"/>
  <c r="BM201" i="8" s="1"/>
  <c r="BK219" i="8"/>
  <c r="BL219" i="8"/>
  <c r="BM219" i="8" s="1"/>
  <c r="BK262" i="8"/>
  <c r="BL262" i="8"/>
  <c r="BM262" i="8" s="1"/>
  <c r="BK215" i="8"/>
  <c r="BL215" i="8"/>
  <c r="BM215" i="8" s="1"/>
  <c r="BK182" i="8"/>
  <c r="BL182" i="8"/>
  <c r="BM182" i="8" s="1"/>
  <c r="BL118" i="8"/>
  <c r="BM118" i="8" s="1"/>
  <c r="BK118" i="8"/>
  <c r="BK76" i="8"/>
  <c r="BL76" i="8"/>
  <c r="BM76" i="8" s="1"/>
  <c r="BL264" i="8"/>
  <c r="BM264" i="8" s="1"/>
  <c r="BK264" i="8"/>
  <c r="BL327" i="8"/>
  <c r="BM327" i="8" s="1"/>
  <c r="BK327" i="8"/>
  <c r="BL27" i="8"/>
  <c r="BM27" i="8" s="1"/>
  <c r="BK27" i="8"/>
  <c r="BL248" i="8"/>
  <c r="BM248" i="8" s="1"/>
  <c r="BK248" i="8"/>
  <c r="BL82" i="8"/>
  <c r="BM82" i="8" s="1"/>
  <c r="BK82" i="8"/>
  <c r="BJ385" i="8"/>
  <c r="BK10" i="8"/>
  <c r="BL12" i="8"/>
  <c r="BK6" i="8"/>
  <c r="BK13" i="8"/>
  <c r="BL13" i="8"/>
  <c r="BM14" i="8" s="1"/>
  <c r="BK5" i="8"/>
  <c r="BL5" i="8"/>
  <c r="BK9" i="8"/>
  <c r="BL9" i="8"/>
  <c r="BM10" i="8" s="1"/>
  <c r="BK7" i="8"/>
  <c r="BL7" i="8"/>
  <c r="BM7" i="8" s="1"/>
  <c r="BK11" i="8"/>
  <c r="BL11" i="8"/>
  <c r="BM11" i="8" s="1"/>
  <c r="BK8" i="8"/>
  <c r="BM383" i="8" l="1"/>
  <c r="BM379" i="8"/>
  <c r="BM342" i="8"/>
  <c r="BM322" i="8"/>
  <c r="BM330" i="8"/>
  <c r="BM355" i="8"/>
  <c r="BM326" i="8"/>
  <c r="BM333" i="8"/>
  <c r="BM338" i="8"/>
  <c r="BM366" i="8"/>
  <c r="BM363" i="8"/>
  <c r="BM380" i="8"/>
  <c r="BM358" i="8"/>
  <c r="BM334" i="8"/>
  <c r="BM331" i="8"/>
  <c r="BM360" i="8"/>
  <c r="BM378" i="8"/>
  <c r="BM356" i="8"/>
  <c r="BM350" i="8"/>
  <c r="BM328" i="8"/>
  <c r="BM329" i="8"/>
  <c r="BM364" i="8"/>
  <c r="BM354" i="8"/>
  <c r="BM384" i="8"/>
  <c r="BM374" i="8"/>
  <c r="BM382" i="8"/>
  <c r="BM352" i="8"/>
  <c r="BM8" i="8"/>
  <c r="BM12" i="8"/>
  <c r="BK385" i="8"/>
  <c r="BM6" i="8"/>
  <c r="BM9" i="8"/>
  <c r="BM5" i="8"/>
  <c r="BM13" i="8"/>
  <c r="B17" i="3" l="1"/>
  <c r="B19" i="3" s="1"/>
  <c r="B16" i="3"/>
  <c r="B15" i="3"/>
  <c r="BM385"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<sst xmlns="http://schemas.openxmlformats.org/spreadsheetml/2006/main" count="691" uniqueCount="601">
  <si>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</si>
  <si>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</si>
  <si>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</si>
  <si>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</si>
  <si>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</si>
  <si>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</si>
  <si>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</si>
  <si>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</si>
  <si>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</si>
  <si>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</si>
  <si>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</si>
  <si>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</si>
  <si>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</si>
  <si>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</si>
  <si>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</si>
  <si>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</si>
  <si>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</si>
  <si>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</si>
  <si>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</si>
  <si>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</si>
  <si>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</si>
  <si>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</si>
  <si>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</si>
  <si>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</si>
  <si>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</si>
  <si>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</si>
  <si>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</si>
  <si>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</si>
  <si>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</si>
  <si>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</si>
  <si>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</si>
  <si>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</si>
  <si>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</si>
  <si>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</si>
  <si>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</si>
  <si>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</si>
  <si>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</si>
  <si>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</si>
  <si>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</si>
  <si>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</si>
  <si>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</si>
  <si>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</si>
  <si>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</si>
  <si>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</si>
  <si>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</si>
  <si>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</si>
  <si>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</si>
  <si>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</si>
  <si>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</si>
  <si>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</si>
  <si>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</si>
  <si>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</si>
  <si>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</si>
  <si>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</si>
  <si>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</si>
  <si>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</si>
  <si>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</si>
  <si>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</si>
  <si>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</si>
  <si>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</si>
  <si>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</si>
  <si>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</si>
  <si>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</si>
  <si>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</si>
  <si>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</si>
  <si>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</si>
  <si>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</si>
  <si>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</si>
  <si>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</si>
  <si>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</si>
  <si>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</si>
  <si>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</si>
  <si>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</si>
  <si>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</si>
  <si>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</si>
  <si>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</si>
  <si>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</si>
  <si>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</si>
  <si>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</si>
  <si>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</si>
  <si>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</si>
  <si>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</si>
  <si>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</si>
  <si>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</si>
  <si>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</si>
  <si>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</si>
  <si>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</si>
  <si>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</si>
  <si>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</si>
  <si>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</si>
  <si>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</si>
  <si>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</si>
  <si>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</si>
  <si>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</si>
  <si>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</si>
  <si>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</si>
  <si>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</si>
  <si>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</si>
  <si>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</si>
  <si>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</si>
  <si>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</si>
  <si>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</si>
  <si>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</si>
  <si>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</si>
  <si>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</si>
  <si>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</si>
  <si>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</si>
  <si>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</si>
  <si>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</si>
  <si>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</si>
  <si>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</si>
  <si>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</si>
  <si>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</si>
  <si>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</si>
  <si>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</si>
  <si>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</si>
  <si>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</si>
  <si>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</si>
  <si>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</si>
  <si>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</si>
  <si>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</si>
  <si>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</si>
  <si>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</si>
  <si>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</si>
  <si>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</si>
  <si>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</si>
  <si>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</si>
  <si>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</si>
  <si>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</si>
  <si>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</si>
  <si>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</si>
  <si>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</si>
  <si>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</si>
  <si>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</si>
  <si>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</si>
  <si>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</si>
  <si>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</si>
  <si>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</si>
  <si>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</si>
  <si>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</si>
  <si>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</si>
  <si>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</si>
  <si>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</si>
  <si>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</si>
  <si>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</si>
  <si>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</si>
  <si>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</si>
  <si>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</si>
  <si>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</si>
  <si>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</si>
  <si>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</si>
  <si>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</si>
  <si>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</si>
  <si>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</si>
  <si>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</si>
  <si>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</si>
  <si>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</si>
  <si>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</si>
  <si>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</si>
  <si>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</si>
  <si>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</si>
  <si>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</si>
  <si>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</si>
  <si>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</si>
  <si>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</si>
  <si>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</si>
  <si>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</si>
  <si>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</si>
  <si>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</si>
  <si>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</si>
  <si>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</si>
  <si>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</si>
  <si>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</si>
  <si>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</si>
  <si>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</si>
  <si>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</si>
  <si>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</si>
  <si>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</si>
  <si>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</si>
  <si>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</si>
  <si>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</si>
  <si>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</si>
  <si>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</si>
  <si>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</si>
  <si>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</si>
  <si>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</si>
  <si>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</si>
  <si>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</si>
  <si>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</si>
  <si>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</si>
  <si>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</si>
  <si>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</si>
  <si>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</si>
  <si>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</si>
  <si>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</si>
  <si>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</si>
  <si>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</si>
  <si>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</si>
  <si>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</si>
  <si>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</si>
  <si>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</si>
  <si>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</si>
  <si>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</si>
  <si>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</si>
  <si>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</si>
  <si>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</si>
  <si>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</si>
  <si>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</si>
  <si>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</si>
  <si>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</si>
  <si>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</si>
  <si>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</si>
  <si>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</si>
  <si>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</si>
  <si>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</si>
  <si>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</si>
  <si>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0101 CIN 1-A   (AV)</t>
  </si>
  <si>
    <t>0102 CIN 1-B   (AV)</t>
  </si>
  <si>
    <t>0103 CIN 1-C   (AV)</t>
  </si>
  <si>
    <t>0104 CIN 1-D   (AV)</t>
  </si>
  <si>
    <t>0105 CIN 1-E   (AV)</t>
  </si>
  <si>
    <t>0106 CIN 1-F   (AV)</t>
  </si>
  <si>
    <t>0107 CIN 1-G   (AV)</t>
  </si>
  <si>
    <t>0108 CIN 1-H   (AV)</t>
  </si>
  <si>
    <t>0109 CIN 1-I   (AV)</t>
  </si>
  <si>
    <t>0110 CIN 1-J   (AV)</t>
  </si>
  <si>
    <t>0111 CIN 1-K   (AV)</t>
  </si>
  <si>
    <t>0112 CIN 1-L   (AV)</t>
  </si>
  <si>
    <t>0113 CIN 1-M   (AV)</t>
  </si>
  <si>
    <t>0201 CIN 2-A   (AV)</t>
  </si>
  <si>
    <t>0202 CIN 2-B   (AV)</t>
  </si>
  <si>
    <t>0203 CIN 2-C   (AV)</t>
  </si>
  <si>
    <t>0204 CIN 2-D   (AV)</t>
  </si>
  <si>
    <t>0205 CIN 2-E   (AV)</t>
  </si>
  <si>
    <t>0206 CIN 2-F   (AV)</t>
  </si>
  <si>
    <t>0207 CIN 2-G   (AV)</t>
  </si>
  <si>
    <t>0208 CIN 2-H   (AV)</t>
  </si>
  <si>
    <t>0209 CIN 2-I   (AV)</t>
  </si>
  <si>
    <t>0210 CIN 2-J   (AV)</t>
  </si>
  <si>
    <t>0211 CIN 2-K   (AV)</t>
  </si>
  <si>
    <t>0301 CIN 3-A   (AV)</t>
  </si>
  <si>
    <t>0302 CIN 3-B   (AV)</t>
  </si>
  <si>
    <t>0303 CIN 3-C   (AV)</t>
  </si>
  <si>
    <t>0304 CIN 3-D   (AV)</t>
  </si>
  <si>
    <t>0305 CIN 3-E   (AV)</t>
  </si>
  <si>
    <t>0401 CIN 4-A   (AV)</t>
  </si>
  <si>
    <t>0402 CIN 4-B   (AV)</t>
  </si>
  <si>
    <t>0403 CIN 4-C   (AV)</t>
  </si>
  <si>
    <t>0404 CIN 4-D   (AV)</t>
  </si>
  <si>
    <t>0405 CIN 4-E   (AV)</t>
  </si>
  <si>
    <t>0406 CIN 4-F   (AV)</t>
  </si>
  <si>
    <t>0407 CIN 4-G   (AV)</t>
  </si>
  <si>
    <t>0408 CIN 4-H   (AV)</t>
  </si>
  <si>
    <t>0501 CIN 5-A   (AV)</t>
  </si>
  <si>
    <t>0502 CIN 5-B   (AV)</t>
  </si>
  <si>
    <t>0503 CIN 5-C   (AV)</t>
  </si>
  <si>
    <t>0504 CIN 5-D   (AV)</t>
  </si>
  <si>
    <t>0505 CIN 5-E   (AV)</t>
  </si>
  <si>
    <t>0506 CIN 5-F   (AV)</t>
  </si>
  <si>
    <t>0507 CIN 5-G   (AV)</t>
  </si>
  <si>
    <t>0508 CIN 5-H   (AV)</t>
  </si>
  <si>
    <t>0509 CIN 5-I   (AV)</t>
  </si>
  <si>
    <t>0601 CIN 6-A   (AV)</t>
  </si>
  <si>
    <t>0602 CIN 6-B   (AV)</t>
  </si>
  <si>
    <t>0603 CIN 6-C   (AV)</t>
  </si>
  <si>
    <t>0604 CIN 6-D   (AV)</t>
  </si>
  <si>
    <t>0605 CIN 6-E   (AV)</t>
  </si>
  <si>
    <t>0701 CIN 7-A   (AV)</t>
  </si>
  <si>
    <t>0702 CIN 7-B   (AV)</t>
  </si>
  <si>
    <t>0703 CIN 7-C   (AV)</t>
  </si>
  <si>
    <t>0704 CIN 7-D   (AV)</t>
  </si>
  <si>
    <t>0705 CIN 7-E   (AV)</t>
  </si>
  <si>
    <t>0706 CIN 7-F   (AV)</t>
  </si>
  <si>
    <t>0707 CIN 7-G   (AV)</t>
  </si>
  <si>
    <t>0708 CIN 7-H   (AV)</t>
  </si>
  <si>
    <t>0709 CIN 7-I   (AV)</t>
  </si>
  <si>
    <t>0710 CIN 7-J   (AV)</t>
  </si>
  <si>
    <t>0711 CIN 7-K   (AV)</t>
  </si>
  <si>
    <t>0801 CIN 8-A   (AV)</t>
  </si>
  <si>
    <t>0802 CIN 8-B   (AV)</t>
  </si>
  <si>
    <t>0803 CIN 8-C   (AV)</t>
  </si>
  <si>
    <t>0804 CIN 8-D   (AV)</t>
  </si>
  <si>
    <t>0901 CIN 9-A   (AV)</t>
  </si>
  <si>
    <t>0902 CIN 9-B   (AV)</t>
  </si>
  <si>
    <t>0903 CIN 9-C   (AV)</t>
  </si>
  <si>
    <t>0904 CIN 9-D   (AV)</t>
  </si>
  <si>
    <t>1001 CIN 10-A   (AV)</t>
  </si>
  <si>
    <t>1002 CIN 10-B   (AV)</t>
  </si>
  <si>
    <t>1003 CIN 10-C   (AV)</t>
  </si>
  <si>
    <t>1101 CIN 11-A   (AV)</t>
  </si>
  <si>
    <t>1102 CIN 11-B   (AV)</t>
  </si>
  <si>
    <t>1103 CIN 11-C   (AV)</t>
  </si>
  <si>
    <t>1104 CIN 11-D   (AV)</t>
  </si>
  <si>
    <t>1201 CIN 12-A   (AV)</t>
  </si>
  <si>
    <t>1202 CIN 12-B   (AV)</t>
  </si>
  <si>
    <t>1203 CIN 12-C   (AV)</t>
  </si>
  <si>
    <t>1204 CIN 12-D   (AV)</t>
  </si>
  <si>
    <t>1205 CIN 12-E   (AV)</t>
  </si>
  <si>
    <t>1301 CIN 13-A   (AV)</t>
  </si>
  <si>
    <t>1302 CIN 13-B   (AV)</t>
  </si>
  <si>
    <t>1303 CIN 13-C   (AV)</t>
  </si>
  <si>
    <t>1304 CIN 13-D   (AV)</t>
  </si>
  <si>
    <t>1305 CIN 13-E   (AV)</t>
  </si>
  <si>
    <t>1306 CIN 13-F   (AV)</t>
  </si>
  <si>
    <t>1307 CIN 13-G   (AV)</t>
  </si>
  <si>
    <t>1308 CIN 13-H   (AV)</t>
  </si>
  <si>
    <t>1401 CIN 14-A   (AV)</t>
  </si>
  <si>
    <t>1402 CIN 14-B   (AV)</t>
  </si>
  <si>
    <t>1403 CIN 14-C   (AV)</t>
  </si>
  <si>
    <t>1404 CIN 14-D   (AV)</t>
  </si>
  <si>
    <t>1405 CIN 14-E   (AV)</t>
  </si>
  <si>
    <t>1406 CIN 14-F   (AV)</t>
  </si>
  <si>
    <t>1407 CIN 14-G   (AV)</t>
  </si>
  <si>
    <t>1408 CIN 14-H   (AV)</t>
  </si>
  <si>
    <t>1409 CIN 14-I   (AV)</t>
  </si>
  <si>
    <t>1501 CIN 15-A   (AV)</t>
  </si>
  <si>
    <t>1502 CIN 15-B   (AV)</t>
  </si>
  <si>
    <t>1503 CIN 15-C   (AV)</t>
  </si>
  <si>
    <t>1504 CIN 15-D   (AV)</t>
  </si>
  <si>
    <t>1505 CIN 15-E   (AV)</t>
  </si>
  <si>
    <t>1506 CIN 15-F   (AV)</t>
  </si>
  <si>
    <t>1507 CIN 15-G   (AV)</t>
  </si>
  <si>
    <t>1508 CIN 15-H   (AV)</t>
  </si>
  <si>
    <t>1509 CIN 15-I   (AV)</t>
  </si>
  <si>
    <t>1510 CIN 15-J   (AV)</t>
  </si>
  <si>
    <t>1601 CIN 16-A   (AV)</t>
  </si>
  <si>
    <t>1701 CIN 17-A   (AV)</t>
  </si>
  <si>
    <t>1702 CIN 17-B   (AV)</t>
  </si>
  <si>
    <t>1703 CIN 17-C   (AV)</t>
  </si>
  <si>
    <t>1801 CIN 18-A   (AV)</t>
  </si>
  <si>
    <t>1802 CIN 18-B   (AV)</t>
  </si>
  <si>
    <t>1901 CIN 19-A   (AV)</t>
  </si>
  <si>
    <t>1902 CIN 19-B   (AV)</t>
  </si>
  <si>
    <t>1903 CIN 19-C   (AV)</t>
  </si>
  <si>
    <t>1904 CIN 19-D   (AV)</t>
  </si>
  <si>
    <t>2001 CIN 20-A   (AV)</t>
  </si>
  <si>
    <t>2002 CIN 20-B   (AV)</t>
  </si>
  <si>
    <t>2003 CIN 20-C   (AV)</t>
  </si>
  <si>
    <t>2004 CIN 20-D   (AV)</t>
  </si>
  <si>
    <t>2005 CIN 20-E   (AV)</t>
  </si>
  <si>
    <t>2101 CIN 21-A   (AV)</t>
  </si>
  <si>
    <t>2102 CIN 21-B   (AV)</t>
  </si>
  <si>
    <t>2103 CIN 21-C   (AV)</t>
  </si>
  <si>
    <t>2104 CIN 21-D   (AV)</t>
  </si>
  <si>
    <t>2105 CIN 21-E   (AV)</t>
  </si>
  <si>
    <t>2201 CIN 22-A   (AV)</t>
  </si>
  <si>
    <t>2202 CIN 22-B   (AV)</t>
  </si>
  <si>
    <t>2203 CIN 22-C   (AV)</t>
  </si>
  <si>
    <t>2301 CIN 23-A   (AV)</t>
  </si>
  <si>
    <t>2302 CIN 23-B   (AV)</t>
  </si>
  <si>
    <t>2303 CIN 23-C   (AV)</t>
  </si>
  <si>
    <t>2304 CIN 23-D   (AV)</t>
  </si>
  <si>
    <t>2305 CIN 23-E   (AV)</t>
  </si>
  <si>
    <t>2306 CIN 23-F   (AV)</t>
  </si>
  <si>
    <t>2307 CIN 23-G   (AV)</t>
  </si>
  <si>
    <t>2308 CIN 23-H   (AV)</t>
  </si>
  <si>
    <t>2309 CIN 23-I   (AV)</t>
  </si>
  <si>
    <t>2310 CIN 23-J   (AV)</t>
  </si>
  <si>
    <t>2311 CIN 23-K   (AV)</t>
  </si>
  <si>
    <t>2312 CIN 23-L   (AV)</t>
  </si>
  <si>
    <t>2313 CIN 23-M   (AV)</t>
  </si>
  <si>
    <t>2314 CIN 23-N   (AV)</t>
  </si>
  <si>
    <t>2315 CIN 23-O   (AV)</t>
  </si>
  <si>
    <t>2316 CIN 23-P   (AV)</t>
  </si>
  <si>
    <t>2317 CIN 23-Q   (AV)</t>
  </si>
  <si>
    <t>2318 CIN 23-R   (AV)</t>
  </si>
  <si>
    <t>2401 CIN 24-A   (AV)</t>
  </si>
  <si>
    <t>2402 CIN 24-B   (AV)</t>
  </si>
  <si>
    <t>2403 CIN 24-C   (AV)</t>
  </si>
  <si>
    <t>2404 CIN 24-D   (AV)</t>
  </si>
  <si>
    <t>2405 CIN 24-E   (AV)</t>
  </si>
  <si>
    <t>2406 CIN 24-F   (AV)</t>
  </si>
  <si>
    <t>2407 CIN 24-G   (AV)</t>
  </si>
  <si>
    <t>2408 CIN 24-H   (AV)</t>
  </si>
  <si>
    <t>2409 CIN 24-I   (AV)</t>
  </si>
  <si>
    <t>2501 CIN 25-A   (AV)</t>
  </si>
  <si>
    <t>2502 CIN 25-B   (AV)</t>
  </si>
  <si>
    <t>2503 CIN 25-C   (AV)</t>
  </si>
  <si>
    <t>2504 CIN 25-D   (AV)</t>
  </si>
  <si>
    <t>2505 CIN 25-E   (AV)</t>
  </si>
  <si>
    <t>2506 CIN 25-F   (AV)</t>
  </si>
  <si>
    <t>2507 CIN 25-G   (AV)</t>
  </si>
  <si>
    <t>2508 CIN 25-H   (AV)</t>
  </si>
  <si>
    <t>2509 CIN 25-I   (AV)</t>
  </si>
  <si>
    <t>2510 CIN 25-J   (AV)</t>
  </si>
  <si>
    <t>2511 CIN 25-K   (AV)</t>
  </si>
  <si>
    <t>2512 CIN 25-L   (AV)</t>
  </si>
  <si>
    <t>2601 CIN 26-A   (AV)</t>
  </si>
  <si>
    <t>2602 CIN 26-B   (AV)</t>
  </si>
  <si>
    <t>2603 CIN 26-C   (AV)</t>
  </si>
  <si>
    <t>2604 CIN 26-D   (AV)</t>
  </si>
  <si>
    <t>2605 CIN 26-E   (AV)</t>
  </si>
  <si>
    <t>2606 CIN 26-F   (AV)</t>
  </si>
  <si>
    <t>2607 CIN 26-G   (AV)</t>
  </si>
  <si>
    <t>2608 CIN 26-H   (AV)</t>
  </si>
  <si>
    <t>2609 CIN 26-I   (AV)</t>
  </si>
  <si>
    <t>2610 CIN 26-J   (AV)</t>
  </si>
  <si>
    <t>2611 CIN 26-K   (AV)</t>
  </si>
  <si>
    <t>2612 CIN 26-L   (AV)</t>
  </si>
  <si>
    <t>2613 CIN 26-M   (AV)</t>
  </si>
  <si>
    <t>2614 CIN 26-N   (AV)</t>
  </si>
  <si>
    <t>2615 CIN 26-O   (AV)</t>
  </si>
  <si>
    <t>2616 CIN 26-P   (AV)</t>
  </si>
  <si>
    <t>2617 CIN 26-Q   (AV)</t>
  </si>
  <si>
    <t>2618 CIN 26-R   (AV)</t>
  </si>
  <si>
    <t>2619 CIN 26-S   (AV)</t>
  </si>
  <si>
    <t>0101 CIN 1-A   (ED)</t>
  </si>
  <si>
    <t>0102 CIN 1-B   (ED)</t>
  </si>
  <si>
    <t>0103 CIN 1-C   (ED)</t>
  </si>
  <si>
    <t>0104 CIN 1-D   (ED)</t>
  </si>
  <si>
    <t>0105 CIN 1-E   (ED)</t>
  </si>
  <si>
    <t>0106 CIN 1-F   (ED)</t>
  </si>
  <si>
    <t>0107 CIN 1-G   (ED)</t>
  </si>
  <si>
    <t>0108 CIN 1-H   (ED)</t>
  </si>
  <si>
    <t>0109 CIN 1-I   (ED)</t>
  </si>
  <si>
    <t>0110 CIN 1-J   (ED)</t>
  </si>
  <si>
    <t>0111 CIN 1-K   (ED)</t>
  </si>
  <si>
    <t>0112 CIN 1-L   (ED)</t>
  </si>
  <si>
    <t>0113 CIN 1-M   (ED)</t>
  </si>
  <si>
    <t>0201 CIN 2-A   (ED)</t>
  </si>
  <si>
    <t>0202 CIN 2-B   (ED)</t>
  </si>
  <si>
    <t>0203 CIN 2-C   (ED)</t>
  </si>
  <si>
    <t>0204 CIN 2-D   (ED)</t>
  </si>
  <si>
    <t>0205 CIN 2-E   (ED)</t>
  </si>
  <si>
    <t>0206 CIN 2-F   (ED)</t>
  </si>
  <si>
    <t>0207 CIN 2-G   (ED)</t>
  </si>
  <si>
    <t>0208 CIN 2-H   (ED)</t>
  </si>
  <si>
    <t>0209 CIN 2-I   (ED)</t>
  </si>
  <si>
    <t>0210 CIN 2-J   (ED)</t>
  </si>
  <si>
    <t>0211 CIN 2-K   (ED)</t>
  </si>
  <si>
    <t>0301 CIN 3-A   (ED)</t>
  </si>
  <si>
    <t>0302 CIN 3-B   (ED)</t>
  </si>
  <si>
    <t>0303 CIN 3-C   (ED)</t>
  </si>
  <si>
    <t>0304 CIN 3-D   (ED)</t>
  </si>
  <si>
    <t>0305 CIN 3-E   (ED)</t>
  </si>
  <si>
    <t>0401 CIN 4-A   (ED)</t>
  </si>
  <si>
    <t>0402 CIN 4-B   (ED)</t>
  </si>
  <si>
    <t>0403 CIN 4-C   (ED)</t>
  </si>
  <si>
    <t>0404 CIN 4-D   (ED)</t>
  </si>
  <si>
    <t>0405 CIN 4-E   (ED)</t>
  </si>
  <si>
    <t>0406 CIN 4-F   (ED)</t>
  </si>
  <si>
    <t>0407 CIN 4-G   (ED)</t>
  </si>
  <si>
    <t>0408 CIN 4-H   (ED)</t>
  </si>
  <si>
    <t>0501 CIN 5-A   (ED)</t>
  </si>
  <si>
    <t>0502 CIN 5-B   (ED)</t>
  </si>
  <si>
    <t>0503 CIN 5-C   (ED)</t>
  </si>
  <si>
    <t>0504 CIN 5-D   (ED)</t>
  </si>
  <si>
    <t>0505 CIN 5-E   (ED)</t>
  </si>
  <si>
    <t>0506 CIN 5-F   (ED)</t>
  </si>
  <si>
    <t>0507 CIN 5-G   (ED)</t>
  </si>
  <si>
    <t>0508 CIN 5-H   (ED)</t>
  </si>
  <si>
    <t>0509 CIN 5-I   (ED)</t>
  </si>
  <si>
    <t>0601 CIN 6-A   (ED)</t>
  </si>
  <si>
    <t>0602 CIN 6-B   (ED)</t>
  </si>
  <si>
    <t>0603 CIN 6-C   (ED)</t>
  </si>
  <si>
    <t>0604 CIN 6-D   (ED)</t>
  </si>
  <si>
    <t>0605 CIN 6-E   (ED)</t>
  </si>
  <si>
    <t>0701 CIN 7-A   (ED)</t>
  </si>
  <si>
    <t>0702 CIN 7-B   (ED)</t>
  </si>
  <si>
    <t>0703 CIN 7-C   (ED)</t>
  </si>
  <si>
    <t>0704 CIN 7-D   (ED)</t>
  </si>
  <si>
    <t>0705 CIN 7-E   (ED)</t>
  </si>
  <si>
    <t>0706 CIN 7-F   (ED)</t>
  </si>
  <si>
    <t>0707 CIN 7-G   (ED)</t>
  </si>
  <si>
    <t>0708 CIN 7-H   (ED)</t>
  </si>
  <si>
    <t>0709 CIN 7-I   (ED)</t>
  </si>
  <si>
    <t>0710 CIN 7-J   (ED)</t>
  </si>
  <si>
    <t>0711 CIN 7-K   (ED)</t>
  </si>
  <si>
    <t>0801 CIN 8-A   (ED)</t>
  </si>
  <si>
    <t>0802 CIN 8-B   (ED)</t>
  </si>
  <si>
    <t>0803 CIN 8-C   (ED)</t>
  </si>
  <si>
    <t>0804 CIN 8-D   (ED)</t>
  </si>
  <si>
    <t>0901 CIN 9-A   (ED)</t>
  </si>
  <si>
    <t>0902 CIN 9-B   (ED)</t>
  </si>
  <si>
    <t>0903 CIN 9-C   (ED)</t>
  </si>
  <si>
    <t>0904 CIN 9-D   (ED)</t>
  </si>
  <si>
    <t>1001 CIN 10-A   (ED)</t>
  </si>
  <si>
    <t>1002 CIN 10-B   (ED)</t>
  </si>
  <si>
    <t>1003 CIN 10-C   (ED)</t>
  </si>
  <si>
    <t>1101 CIN 11-A   (ED)</t>
  </si>
  <si>
    <t>1102 CIN 11-B   (ED)</t>
  </si>
  <si>
    <t>1103 CIN 11-C   (ED)</t>
  </si>
  <si>
    <t>1104 CIN 11-D   (ED)</t>
  </si>
  <si>
    <t>1201 CIN 12-A   (ED)</t>
  </si>
  <si>
    <t>1202 CIN 12-B   (ED)</t>
  </si>
  <si>
    <t>1203 CIN 12-C   (ED)</t>
  </si>
  <si>
    <t>1204 CIN 12-D   (ED)</t>
  </si>
  <si>
    <t>1205 CIN 12-E   (ED)</t>
  </si>
  <si>
    <t>1301 CIN 13-A   (ED)</t>
  </si>
  <si>
    <t>1302 CIN 13-B   (ED)</t>
  </si>
  <si>
    <t>1303 CIN 13-C   (ED)</t>
  </si>
  <si>
    <t>1304 CIN 13-D   (ED)</t>
  </si>
  <si>
    <t>1305 CIN 13-E   (ED)</t>
  </si>
  <si>
    <t>1306 CIN 13-F   (ED)</t>
  </si>
  <si>
    <t>1307 CIN 13-G   (ED)</t>
  </si>
  <si>
    <t>1308 CIN 13-H   (ED)</t>
  </si>
  <si>
    <t>1401 CIN 14-A   (ED)</t>
  </si>
  <si>
    <t>1402 CIN 14-B   (ED)</t>
  </si>
  <si>
    <t>1403 CIN 14-C   (ED)</t>
  </si>
  <si>
    <t>1404 CIN 14-D   (ED)</t>
  </si>
  <si>
    <t>1405 CIN 14-E   (ED)</t>
  </si>
  <si>
    <t>1406 CIN 14-F   (ED)</t>
  </si>
  <si>
    <t>1407 CIN 14-G   (ED)</t>
  </si>
  <si>
    <t>1408 CIN 14-H   (ED)</t>
  </si>
  <si>
    <t>1409 CIN 14-I   (ED)</t>
  </si>
  <si>
    <t>1501 CIN 15-A   (ED)</t>
  </si>
  <si>
    <t>1502 CIN 15-B   (ED)</t>
  </si>
  <si>
    <t>1503 CIN 15-C   (ED)</t>
  </si>
  <si>
    <t>1504 CIN 15-D   (ED)</t>
  </si>
  <si>
    <t>1505 CIN 15-E   (ED)</t>
  </si>
  <si>
    <t>1506 CIN 15-F   (ED)</t>
  </si>
  <si>
    <t>1507 CIN 15-G   (ED)</t>
  </si>
  <si>
    <t>1508 CIN 15-H   (ED)</t>
  </si>
  <si>
    <t>1509 CIN 15-I   (ED)</t>
  </si>
  <si>
    <t>1510 CIN 15-J   (ED)</t>
  </si>
  <si>
    <t>1601 CIN 16-A   (ED)</t>
  </si>
  <si>
    <t>1701 CIN 17-A   (ED)</t>
  </si>
  <si>
    <t>1702 CIN 17-B   (ED)</t>
  </si>
  <si>
    <t>1703 CIN 17-C   (ED)</t>
  </si>
  <si>
    <t>1801 CIN 18-A   (ED)</t>
  </si>
  <si>
    <t>1802 CIN 18-B   (ED)</t>
  </si>
  <si>
    <t>1901 CIN 19-A   (ED)</t>
  </si>
  <si>
    <t>1902 CIN 19-B   (ED)</t>
  </si>
  <si>
    <t>1903 CIN 19-C   (ED)</t>
  </si>
  <si>
    <t>1904 CIN 19-D   (ED)</t>
  </si>
  <si>
    <t>2001 CIN 20-A   (ED)</t>
  </si>
  <si>
    <t>2002 CIN 20-B   (ED)</t>
  </si>
  <si>
    <t>2003 CIN 20-C   (ED)</t>
  </si>
  <si>
    <t>2004 CIN 20-D   (ED)</t>
  </si>
  <si>
    <t>2005 CIN 20-E   (ED)</t>
  </si>
  <si>
    <t>2101 CIN 21-A   (ED)</t>
  </si>
  <si>
    <t>2102 CIN 21-B   (ED)</t>
  </si>
  <si>
    <t>2103 CIN 21-C   (ED)</t>
  </si>
  <si>
    <t>2104 CIN 21-D   (ED)</t>
  </si>
  <si>
    <t>2105 CIN 21-E   (ED)</t>
  </si>
  <si>
    <t>2201 CIN 22-A   (ED)</t>
  </si>
  <si>
    <t>2202 CIN 22-B   (ED)</t>
  </si>
  <si>
    <t>2203 CIN 22-C   (ED)</t>
  </si>
  <si>
    <t>2301 CIN 23-A   (ED)</t>
  </si>
  <si>
    <t>2302 CIN 23-B   (ED)</t>
  </si>
  <si>
    <t>2303 CIN 23-C   (ED)</t>
  </si>
  <si>
    <t>2304 CIN 23-D   (ED)</t>
  </si>
  <si>
    <t>2305 CIN 23-E   (ED)</t>
  </si>
  <si>
    <t>2306 CIN 23-F   (ED)</t>
  </si>
  <si>
    <t>2307 CIN 23-G   (ED)</t>
  </si>
  <si>
    <t>2308 CIN 23-H   (ED)</t>
  </si>
  <si>
    <t>2309 CIN 23-I   (ED)</t>
  </si>
  <si>
    <t>2310 CIN 23-J   (ED)</t>
  </si>
  <si>
    <t>2311 CIN 23-K   (ED)</t>
  </si>
  <si>
    <t>2312 CIN 23-L   (ED)</t>
  </si>
  <si>
    <t>2313 CIN 23-M   (ED)</t>
  </si>
  <si>
    <t>2314 CIN 23-N   (ED)</t>
  </si>
  <si>
    <t>2315 CIN 23-O   (ED)</t>
  </si>
  <si>
    <t>2316 CIN 23-P   (ED)</t>
  </si>
  <si>
    <t>2317 CIN 23-Q   (ED)</t>
  </si>
  <si>
    <t>2318 CIN 23-R   (ED)</t>
  </si>
  <si>
    <t>2401 CIN 24-A   (ED)</t>
  </si>
  <si>
    <t>2402 CIN 24-B   (ED)</t>
  </si>
  <si>
    <t>2403 CIN 24-C   (ED)</t>
  </si>
  <si>
    <t>2404 CIN 24-D   (ED)</t>
  </si>
  <si>
    <t>2405 CIN 24-E   (ED)</t>
  </si>
  <si>
    <t>2406 CIN 24-F   (ED)</t>
  </si>
  <si>
    <t>2407 CIN 24-G   (ED)</t>
  </si>
  <si>
    <t>2408 CIN 24-H   (ED)</t>
  </si>
  <si>
    <t>2409 CIN 24-I   (ED)</t>
  </si>
  <si>
    <t>2501 CIN 25-A   (ED)</t>
  </si>
  <si>
    <t>2502 CIN 25-B   (ED)</t>
  </si>
  <si>
    <t>2503 CIN 25-C   (ED)</t>
  </si>
  <si>
    <t>2504 CIN 25-D   (ED)</t>
  </si>
  <si>
    <t>2505 CIN 25-E   (ED)</t>
  </si>
  <si>
    <t>2506 CIN 25-F   (ED)</t>
  </si>
  <si>
    <t>2507 CIN 25-G   (ED)</t>
  </si>
  <si>
    <t>2508 CIN 25-H   (ED)</t>
  </si>
  <si>
    <t>2509 CIN 25-I   (ED)</t>
  </si>
  <si>
    <t>2510 CIN 25-J   (ED)</t>
  </si>
  <si>
    <t>2511 CIN 25-K   (ED)</t>
  </si>
  <si>
    <t>2512 CIN 25-L   (ED)</t>
  </si>
  <si>
    <t>2601 CIN 26-A   (ED)</t>
  </si>
  <si>
    <t>2602 CIN 26-B   (ED)</t>
  </si>
  <si>
    <t>2603 CIN 26-C   (ED)</t>
  </si>
  <si>
    <t>2604 CIN 26-D   (ED)</t>
  </si>
  <si>
    <t>2605 CIN 26-E   (ED)</t>
  </si>
  <si>
    <t>2606 CIN 26-F   (ED)</t>
  </si>
  <si>
    <t>2607 CIN 26-G   (ED)</t>
  </si>
  <si>
    <t>2608 CIN 26-H   (ED)</t>
  </si>
  <si>
    <t>2609 CIN 26-I   (ED)</t>
  </si>
  <si>
    <t>2610 CIN 26-J   (ED)</t>
  </si>
  <si>
    <t>2611 CIN 26-K   (ED)</t>
  </si>
  <si>
    <t>2612 CIN 26-L   (ED)</t>
  </si>
  <si>
    <t>2613 CIN 26-M   (ED)</t>
  </si>
  <si>
    <t>2614 CIN 26-N   (ED)</t>
  </si>
  <si>
    <t>2615 CIN 26-O   (ED)</t>
  </si>
  <si>
    <t>2616 CIN 26-P   (ED)</t>
  </si>
  <si>
    <t>2617 CIN 26-Q   (ED)</t>
  </si>
  <si>
    <t>2618 CIN 26-R   (ED)</t>
  </si>
  <si>
    <t>2619 CIN 26-S   (ED)</t>
  </si>
  <si>
    <t>City of Cincinnati Mayor</t>
  </si>
  <si>
    <t>2025 Primary (May 6, 2025)</t>
  </si>
  <si>
    <t>Pureval</t>
  </si>
  <si>
    <t>Bowman</t>
  </si>
  <si>
    <t>Frank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</si>
</sst>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family val="2"/>
      <scheme val="minor"/>
    </font>
    <font>
      <sz val="11"/>
      <name val="Calibri"/>
      <family val="2"/>
      <scheme val="minor"/>
    </font>
    <font>
      <b/>
      <sz val="11"/>
      <color theme="1"/>
      <name val="Calibri"/>
      <family val="2"/>
      <scheme val="minor"/>
    </font>
    <font>
      <sz val="11"/>
      <name val="Calibri"/>
      <family val="2"/>
    </font>
    <font>
      <b/>
      <sz val="11"/>
      <color rgb="FFC00000"/>
      <name val="Calibri"/>
      <family val="2"/>
      <scheme val="minor"/>
    </font>
    <font>
      <sz val="11"/>
      <color theme="6" tint="-0.499984740745262"/>
      <name val="Calibri"/>
      <scheme val="minor"/>
    </font>
    <font>
      <sz val="11"/>
      <name val="Calibri"/>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79">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left"/>
    </xf>
    <xf numFmtId="9" fontId="2" fillId="0" borderId="1" xfId="0" applyNumberFormat="1" applyFont="1" applyBorder="1" applyAlignment="1">
      <alignment horizontal="center"/>
    </xf>
    <xf numFmtId="0" fontId="2" fillId="0" borderId="1" xfId="0" applyFont="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Border="1" applyAlignment="1">
      <alignment horizontal="center"/>
    </xf>
    <xf numFmtId="3" fontId="2" fillId="0" borderId="1" xfId="2" applyNumberFormat="1" applyFont="1" applyFill="1" applyBorder="1" applyAlignment="1" applyProtection="1">
      <alignment horizontal="center"/>
    </xf>
    <xf numFmtId="10" fontId="2" fillId="0" borderId="1" xfId="0" applyNumberFormat="1" applyFont="1" applyBorder="1" applyAlignment="1">
      <alignment horizontal="center" vertical="center"/>
    </xf>
    <xf numFmtId="0" fontId="2" fillId="0" borderId="1" xfId="0" applyFont="1" applyBorder="1" applyAlignment="1">
      <alignment horizontal="center"/>
    </xf>
    <xf numFmtId="0" fontId="0" fillId="0" borderId="0" xfId="0" applyProtection="1">
      <protection locked="0"/>
    </xf>
    <xf numFmtId="0" fontId="0" fillId="0" borderId="0" xfId="0" applyAlignment="1">
      <alignment horizontal="left"/>
    </xf>
    <xf numFmtId="0" fontId="14" fillId="0" borderId="0" xfId="0" applyFont="1" applyAlignment="1">
      <alignment horizontal="right"/>
    </xf>
    <xf numFmtId="0" fontId="14" fillId="0" borderId="0" xfId="0" applyFont="1"/>
    <xf numFmtId="3" fontId="14" fillId="0" borderId="0" xfId="0" applyNumberFormat="1" applyFont="1"/>
    <xf numFmtId="10" fontId="14" fillId="0" borderId="2" xfId="0" applyNumberFormat="1" applyFont="1" applyBorder="1"/>
    <xf numFmtId="0" fontId="14" fillId="0" borderId="8" xfId="0" applyFont="1" applyBorder="1"/>
    <xf numFmtId="10" fontId="14" fillId="0" borderId="8" xfId="0" applyNumberFormat="1" applyFont="1" applyBorder="1"/>
    <xf numFmtId="0" fontId="14" fillId="0" borderId="2" xfId="0" applyFont="1" applyBorder="1"/>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Border="1"/>
    <xf numFmtId="0" fontId="0" fillId="0" borderId="45" xfId="0" applyBorder="1"/>
    <xf numFmtId="0" fontId="2" fillId="0" borderId="46" xfId="0" applyFont="1" applyBorder="1"/>
    <xf numFmtId="0" fontId="28" fillId="0" borderId="0" xfId="0" applyFont="1"/>
    <xf numFmtId="10" fontId="29" fillId="0" borderId="2" xfId="0" applyNumberFormat="1" applyFont="1" applyBorder="1"/>
    <xf numFmtId="0" fontId="29" fillId="0" borderId="2" xfId="0" applyFont="1" applyBorder="1"/>
    <xf numFmtId="0" fontId="29" fillId="0" borderId="0" xfId="0" applyFont="1"/>
    <xf numFmtId="3" fontId="29" fillId="0" borderId="0" xfId="0" applyNumberFormat="1" applyFont="1"/>
    <xf numFmtId="0" fontId="30" fillId="0" borderId="0" xfId="0" applyFont="1" applyProtection="1">
      <protection locked="0"/>
    </xf>
    <xf numFmtId="3" fontId="30" fillId="0" borderId="0" xfId="0" applyNumberFormat="1" applyFont="1" applyProtection="1">
      <protection locked="0"/>
    </xf>
    <xf numFmtId="0" fontId="29" fillId="0" borderId="8" xfId="0" applyFont="1" applyBorder="1"/>
    <xf numFmtId="0" fontId="4" fillId="2" borderId="13" xfId="0" applyFont="1" applyFill="1" applyBorder="1" applyAlignment="1">
      <alignment horizontal="center" vertical="center" wrapText="1"/>
    </xf>
    <xf numFmtId="0" fontId="31" fillId="0" borderId="0" xfId="0" applyFont="1" applyAlignment="1">
      <alignment horizontal="left"/>
    </xf>
    <xf numFmtId="0" fontId="31" fillId="0" borderId="0" xfId="0" applyFont="1" applyAlignment="1">
      <alignment horizontal="center"/>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32" fillId="0" borderId="0" xfId="2" applyNumberFormat="1" applyFont="1" applyProtection="1">
      <protection locked="0"/>
    </xf>
    <xf numFmtId="0" fontId="14" fillId="0" borderId="0" xfId="2" applyNumberFormat="1" applyFont="1" applyAlignment="1" applyProtection="1">
      <alignment horizontal="right"/>
    </xf>
    <xf numFmtId="0" fontId="14" fillId="0" borderId="0" xfId="2" applyNumberFormat="1" applyFont="1"/>
    <xf numFmtId="0" fontId="14" fillId="0" borderId="0" xfId="2" applyNumberFormat="1" applyFont="1" applyAlignment="1">
      <alignment horizontal="right"/>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43" fontId="14" fillId="0" borderId="0" xfId="2" applyFont="1"/>
    <xf numFmtId="166" fontId="14" fillId="0" borderId="0" xfId="0" applyNumberFormat="1" applyFont="1"/>
    <xf numFmtId="166" fontId="14" fillId="0" borderId="0" xfId="0" applyNumberFormat="1" applyFont="1" applyAlignment="1">
      <alignment horizontal="right"/>
    </xf>
    <xf numFmtId="0" fontId="14" fillId="3" borderId="6" xfId="0"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10" fontId="34" fillId="0" borderId="2" xfId="0" applyNumberFormat="1" applyFont="1" applyBorder="1"/>
    <xf numFmtId="0" fontId="34" fillId="0" borderId="2" xfId="0" applyFont="1" applyBorder="1"/>
    <xf numFmtId="0" fontId="34" fillId="0" borderId="0" xfId="0" applyFont="1"/>
    <xf numFmtId="3" fontId="34" fillId="0" borderId="0" xfId="0" applyNumberFormat="1" applyFont="1"/>
    <xf numFmtId="0" fontId="35" fillId="0" borderId="0" xfId="0" applyFont="1" applyProtection="1">
      <protection locked="0"/>
    </xf>
    <xf numFmtId="3" fontId="35" fillId="0" borderId="0" xfId="0" applyNumberFormat="1" applyFont="1" applyProtection="1">
      <protection locked="0"/>
    </xf>
    <xf numFmtId="0" fontId="34" fillId="0" borderId="0" xfId="0" applyFont="1" applyProtection="1">
      <protection locked="0"/>
    </xf>
    <xf numFmtId="10" fontId="34" fillId="0" borderId="8" xfId="0" applyNumberFormat="1" applyFont="1" applyBorder="1"/>
    <xf numFmtId="0" fontId="34" fillId="0" borderId="8" xfId="0" applyFont="1" applyBorder="1"/>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27" fillId="7" borderId="40" xfId="0" applyFont="1" applyFill="1" applyBorder="1" applyAlignment="1">
      <alignment horizontal="center" vertical="top" wrapText="1"/>
    </xf>
    <xf numFmtId="0" fontId="27" fillId="7" borderId="41" xfId="0" applyFont="1" applyFill="1" applyBorder="1" applyAlignment="1">
      <alignment horizontal="center" vertical="top" wrapText="1"/>
    </xf>
    <xf numFmtId="0" fontId="27" fillId="7" borderId="42" xfId="0" applyFont="1" applyFill="1" applyBorder="1" applyAlignment="1">
      <alignment horizontal="center" vertical="top"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ill="1" applyBorder="1" applyAlignment="1">
      <alignment horizontal="left" vertical="center" wrapText="1"/>
    </xf>
    <xf numFmtId="0" fontId="0" fillId="7" borderId="38" xfId="0" applyFill="1" applyBorder="1" applyAlignment="1">
      <alignment horizontal="left" vertical="center" wrapText="1"/>
    </xf>
    <xf numFmtId="0" fontId="0" fillId="7" borderId="30" xfId="0" applyFill="1" applyBorder="1" applyAlignment="1">
      <alignment horizontal="left" vertical="center" wrapText="1"/>
    </xf>
    <xf numFmtId="164" fontId="2" fillId="0" borderId="1" xfId="0" applyNumberFormat="1" applyFont="1" applyBorder="1" applyAlignment="1">
      <alignment horizontal="center"/>
    </xf>
  </cellXfs>
  <cellStyles count="4">
    <cellStyle name="Comma" xfId="2" builtinId="3"/>
    <cellStyle name="Currency" xfId="3" builtinId="4"/>
    <cellStyle name="Normal" xfId="0" builtinId="0"/>
    <cellStyle name="Normal 2" xfId="1" xr:uid="{00000000-0005-0000-0000-000003000000}"/>
  </cellStyles>
  <dxfs count="239">
    <dxf>
      <fill>
        <patternFill>
          <bgColor rgb="FF92D050"/>
        </patternFill>
      </fill>
    </dxf>
    <dxf>
      <fill>
        <patternFill>
          <bgColor rgb="FFFFFF00"/>
        </patternFill>
      </fill>
    </dxf>
    <dxf>
      <font>
        <color theme="0"/>
      </font>
      <fill>
        <patternFill patternType="solid">
          <fgColor auto="1"/>
          <bgColor rgb="FFFF0000"/>
        </patternFill>
      </fill>
    </dxf>
    <dxf>
      <font>
        <b/>
        <i val="0"/>
        <color rgb="FFFF0000"/>
      </font>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numFmt numFmtId="0" formatCode="General"/>
    </dxf>
    <dxf>
      <numFmt numFmtId="0" formatCode="General"/>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8" dataDxfId="236" headerRowBorderDxfId="237" tableBorderDxfId="235" totalsRowBorderDxfId="234">
  <tableColumns count="2">
    <tableColumn id="1" xr3:uid="{00000000-0010-0000-0000-000001000000}" name="Contest Audited" dataDxfId="233"/>
    <tableColumn id="2" xr3:uid="{00000000-0010-0000-0000-000002000000}" name="City of Cincinnati Mayor" dataDxfId="23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1" tableBorderDxfId="230">
  <autoFilter ref="A47:B48" xr:uid="{00000000-0009-0000-0100-000007000000}"/>
  <tableColumns count="2">
    <tableColumn id="1" xr3:uid="{00000000-0010-0000-0100-000001000000}" name="Precinct Name" dataDxfId="229">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228">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7">
  <tableColumns count="2">
    <tableColumn id="1" xr3:uid="{00000000-0010-0000-0200-000001000000}" name="Column1" headerRowDxfId="226" dataDxfId="225"/>
    <tableColumn id="2" xr3:uid="{00000000-0010-0000-0200-000002000000}" name="Column2" headerRowDxfId="224" dataDxfId="22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12" totalsRowShown="0" headerRowDxfId="222" dataDxfId="220" headerRowBorderDxfId="221">
  <tableColumns count="3">
    <tableColumn id="1" xr3:uid="{00000000-0010-0000-0300-000001000000}" name="Draw" dataDxfId="219">
      <calculatedColumnFormula>ROW() -2</calculatedColumnFormula>
    </tableColumn>
    <tableColumn id="2" xr3:uid="{00000000-0010-0000-0300-000002000000}" name="Batch Number" dataDxfId="218"/>
    <tableColumn id="3" xr3:uid="{00000000-0010-0000-0300-000003000000}" name="Batch Name" dataDxfId="217">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385" totalsRowCount="1" headerRowDxfId="216" dataDxfId="214" totalsRowDxfId="212" headerRowBorderDxfId="215" tableBorderDxfId="213" totalsRowBorderDxfId="211">
  <autoFilter ref="A4:BN384" xr:uid="{00000000-0009-0000-0100-000002000000}">
    <filterColumn colId="0">
      <customFilters>
        <customFilter operator="notEqual" val=" "/>
      </customFilters>
    </filterColumn>
  </autoFilter>
  <sortState xmlns:xlrd2="http://schemas.microsoft.com/office/spreadsheetml/2017/richdata2" ref="A5:AX2528">
    <sortCondition ref="B4:B2528"/>
  </sortState>
  <tableColumns count="66">
    <tableColumn id="1" xr3:uid="{00000000-0010-0000-0400-000001000000}" name="Selection - Batch picked for audit" totalsRowLabel="Total" dataDxfId="210" totalsRowDxfId="209">
      <calculatedColumnFormula>'Sampling Data'!AI5</calculatedColumnFormula>
    </tableColumn>
    <tableColumn id="2" xr3:uid="{00000000-0010-0000-0400-000002000000}" name="Precinct (p) - Batched by Type" totalsRowFunction="count" dataDxfId="208" totalsRowDxfId="207">
      <calculatedColumnFormula>'Sampling Data'!A5</calculatedColumnFormula>
    </tableColumn>
    <tableColumn id="4" xr3:uid="{00000000-0010-0000-0400-000004000000}" name="Winning Candidate" totalsRowFunction="custom" dataDxfId="206" totalsRowDxfId="205">
      <calculatedColumnFormula>'Sampling Data'!B5</calculatedColumnFormula>
      <totalsRowFormula>SUM(Audit[Winning Candidate])</totalsRowFormula>
    </tableColumn>
    <tableColumn id="3" xr3:uid="{00000000-0010-0000-0400-000003000000}" name="Losing Candidate" totalsRowFunction="custom" dataDxfId="204" totalsRowDxfId="203">
      <calculatedColumnFormula>'Sampling Data'!C5</calculatedColumnFormula>
      <totalsRowFormula>SUM(Audit[Losing Candidate])</totalsRowFormula>
    </tableColumn>
    <tableColumn id="12" xr3:uid="{00000000-0010-0000-0400-00000C000000}" name="Candidate 3" totalsRowFunction="custom" dataDxfId="202" totalsRowDxfId="201">
      <calculatedColumnFormula>'Sampling Data'!D5</calculatedColumnFormula>
      <totalsRowFormula>SUM(Audit[Candidate 3])</totalsRowFormula>
    </tableColumn>
    <tableColumn id="11" xr3:uid="{00000000-0010-0000-0400-00000B000000}" name="Candidate 4" totalsRowFunction="custom" dataDxfId="200" totalsRowDxfId="199">
      <calculatedColumnFormula>'Sampling Data'!E5</calculatedColumnFormula>
      <totalsRowFormula>SUM(Audit[Candidate 4])</totalsRowFormula>
    </tableColumn>
    <tableColumn id="10" xr3:uid="{00000000-0010-0000-0400-00000A000000}" name="Candidate 5" totalsRowFunction="custom" dataDxfId="198" totalsRowDxfId="197">
      <calculatedColumnFormula>'Sampling Data'!F5</calculatedColumnFormula>
      <totalsRowFormula>SUM(Audit[Candidate 5])</totalsRowFormula>
    </tableColumn>
    <tableColumn id="43" xr3:uid="{00000000-0010-0000-0400-00002B000000}" name="Candidate 6" totalsRowFunction="custom" dataDxfId="196" totalsRowDxfId="195">
      <calculatedColumnFormula>'Sampling Data'!G5</calculatedColumnFormula>
      <totalsRowFormula>SUM(Audit[Candidate 6])</totalsRowFormula>
    </tableColumn>
    <tableColumn id="42" xr3:uid="{00000000-0010-0000-0400-00002A000000}" name="Candidate 7" totalsRowFunction="custom" dataDxfId="194" totalsRowDxfId="193">
      <calculatedColumnFormula>'Sampling Data'!H5</calculatedColumnFormula>
      <totalsRowFormula>SUM(Audit[Candidate 7])</totalsRowFormula>
    </tableColumn>
    <tableColumn id="9" xr3:uid="{00000000-0010-0000-0400-000009000000}" name="Candidate 8" totalsRowFunction="custom" dataDxfId="192" totalsRowDxfId="191">
      <calculatedColumnFormula>'Sampling Data'!I5</calculatedColumnFormula>
      <totalsRowFormula>SUM(Audit[Candidate 8])</totalsRowFormula>
    </tableColumn>
    <tableColumn id="55" xr3:uid="{00000000-0010-0000-0400-000037000000}" name="Candidate 9" totalsRowFunction="custom" dataDxfId="190" totalsRowDxfId="189">
      <calculatedColumnFormula>'Sampling Data'!J5</calculatedColumnFormula>
      <totalsRowFormula>SUM(Audit[Candidate 9])</totalsRowFormula>
    </tableColumn>
    <tableColumn id="54" xr3:uid="{00000000-0010-0000-0400-000036000000}" name="Candidate 10" totalsRowFunction="custom" dataDxfId="188" totalsRowDxfId="187">
      <calculatedColumnFormula>'Sampling Data'!K5</calculatedColumnFormula>
      <totalsRowFormula>SUM(Audit[Candidate 10])</totalsRowFormula>
    </tableColumn>
    <tableColumn id="53" xr3:uid="{00000000-0010-0000-0400-000035000000}" name="Candidate 11" totalsRowFunction="custom" dataDxfId="186" totalsRowDxfId="185">
      <calculatedColumnFormula>'Sampling Data'!L5</calculatedColumnFormula>
      <totalsRowFormula>SUM(Audit[Candidate 11])</totalsRowFormula>
    </tableColumn>
    <tableColumn id="52" xr3:uid="{00000000-0010-0000-0400-000034000000}" name="Candidate 12" totalsRowFunction="custom" dataDxfId="184" totalsRowDxfId="183">
      <calculatedColumnFormula>'Sampling Data'!M5</calculatedColumnFormula>
      <totalsRowFormula>SUM(Audit[Candidate 12])</totalsRowFormula>
    </tableColumn>
    <tableColumn id="5" xr3:uid="{00000000-0010-0000-0400-000005000000}" name="Over Votes" totalsRowFunction="custom" dataDxfId="182" totalsRowDxfId="181">
      <calculatedColumnFormula>'Sampling Data'!N5</calculatedColumnFormula>
      <totalsRowFormula>SUM(Audit[Over Votes])</totalsRowFormula>
    </tableColumn>
    <tableColumn id="6" xr3:uid="{00000000-0010-0000-0400-000006000000}" name="Under Votes" totalsRowFunction="custom" dataDxfId="180" totalsRowDxfId="179">
      <calculatedColumnFormula>'Sampling Data'!O5</calculatedColumnFormula>
      <totalsRowFormula>SUM(Audit[Under Votes])</totalsRowFormula>
    </tableColumn>
    <tableColumn id="7" xr3:uid="{00000000-0010-0000-0400-000007000000}" name="Total" totalsRowFunction="custom" dataDxfId="178" totalsRowDxfId="177">
      <calculatedColumnFormula>'Sampling Data'!P5</calculatedColumnFormula>
      <totalsRowFormula>SUM(Audit[Total])</totalsRowFormula>
    </tableColumn>
    <tableColumn id="15" xr3:uid="{00000000-0010-0000-0400-00000F000000}" name="Times p Drawn - With Replacement" totalsRowFunction="custom" dataDxfId="176" totalsRowDxfId="175">
      <calculatedColumnFormula>'Sampling Data'!AJ5</calculatedColumnFormula>
      <totalsRowFormula>SUM(Audit[Times p Drawn - With Replacement])</totalsRowFormula>
    </tableColumn>
    <tableColumn id="17" xr3:uid="{00000000-0010-0000-0400-000011000000}" name="Audit Winning Candidate" totalsRowFunction="custom" dataDxfId="174" totalsRowDxfId="173">
      <totalsRowFormula>SUM(Audit[Audit Winning Candidate])</totalsRowFormula>
    </tableColumn>
    <tableColumn id="16" xr3:uid="{00000000-0010-0000-0400-000010000000}" name="Audit Losing Candidate" totalsRowFunction="custom" dataDxfId="172" totalsRowDxfId="171">
      <totalsRowFormula>SUM(Audit[Audit Losing Candidate])</totalsRowFormula>
    </tableColumn>
    <tableColumn id="33" xr3:uid="{00000000-0010-0000-0400-000021000000}" name="Audit Candidate 3" totalsRowFunction="custom" dataDxfId="170" totalsRowDxfId="169">
      <totalsRowFormula>SUM(Audit[Audit Candidate 3])</totalsRowFormula>
    </tableColumn>
    <tableColumn id="32" xr3:uid="{00000000-0010-0000-0400-000020000000}" name="Audit Candidate 4" totalsRowFunction="custom" dataDxfId="168" totalsRowDxfId="167">
      <totalsRowFormula>SUM(Audit[Audit Candidate 4])</totalsRowFormula>
    </tableColumn>
    <tableColumn id="14" xr3:uid="{00000000-0010-0000-0400-00000E000000}" name="Audit Candidate 5" totalsRowFunction="custom" dataDxfId="166" totalsRowDxfId="165">
      <totalsRowFormula>SUM(Audit[Audit Candidate 5])</totalsRowFormula>
    </tableColumn>
    <tableColumn id="45" xr3:uid="{00000000-0010-0000-0400-00002D000000}" name="Audit Candidate 6" totalsRowFunction="custom" dataDxfId="164" totalsRowDxfId="163">
      <totalsRowFormula>SUM(Audit[Audit Candidate 6])</totalsRowFormula>
    </tableColumn>
    <tableColumn id="44" xr3:uid="{00000000-0010-0000-0400-00002C000000}" name="Audit Candidate 7" totalsRowFunction="custom" dataDxfId="162" totalsRowDxfId="161">
      <totalsRowFormula>SUM(Audit[Audit Candidate 7])</totalsRowFormula>
    </tableColumn>
    <tableColumn id="13" xr3:uid="{00000000-0010-0000-0400-00000D000000}" name="Audit Candidate 8" totalsRowFunction="custom" dataDxfId="160" totalsRowDxfId="159">
      <totalsRowFormula>SUM(Audit[Audit Candidate 8])</totalsRowFormula>
    </tableColumn>
    <tableColumn id="59" xr3:uid="{00000000-0010-0000-0400-00003B000000}" name="Audit Candidate 9" totalsRowFunction="custom" dataDxfId="158" totalsRowDxfId="157">
      <totalsRowFormula>SUM(Audit[Audit Candidate 9])</totalsRowFormula>
    </tableColumn>
    <tableColumn id="58" xr3:uid="{00000000-0010-0000-0400-00003A000000}" name="Audit Candidate 10" totalsRowFunction="custom" dataDxfId="156" totalsRowDxfId="155">
      <totalsRowFormula>SUM(Audit[Audit Candidate 10])</totalsRowFormula>
    </tableColumn>
    <tableColumn id="57" xr3:uid="{00000000-0010-0000-0400-000039000000}" name="Audit Candidate 11" totalsRowFunction="custom" dataDxfId="154" totalsRowDxfId="153">
      <totalsRowFormula>SUM(Audit[Audit Candidate 11])</totalsRowFormula>
    </tableColumn>
    <tableColumn id="56" xr3:uid="{00000000-0010-0000-0400-000038000000}" name="Audit Candidate 12" totalsRowFunction="custom" dataDxfId="152" totalsRowDxfId="151">
      <totalsRowFormula>SUM(Audit[Audit Candidate 12])</totalsRowFormula>
    </tableColumn>
    <tableColumn id="19" xr3:uid="{00000000-0010-0000-0400-000013000000}" name="Difference Winner" totalsRowFunction="custom" dataDxfId="150" totalsRowDxfId="149">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48" totalsRowDxfId="147">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46" totalsRowDxfId="145">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44" totalsRowDxfId="143">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142" totalsRowDxfId="141">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140" totalsRowDxfId="139">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138" totalsRowDxfId="137">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136" totalsRowDxfId="135">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134" totalsRowDxfId="133">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132" totalsRowDxfId="131">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130" totalsRowDxfId="129">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128" totalsRowDxfId="127">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126" totalsRowDxfId="125">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124" totalsRowDxfId="123">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122" totalsRowDxfId="121">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120" totalsRowDxfId="119">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118" totalsRowDxfId="117">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116" totalsRowDxfId="115">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114" totalsRowDxfId="113">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112" totalsRowDxfId="111">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110" totalsRowDxfId="109">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108" totalsRowDxfId="107">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106" totalsRowDxfId="105">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104" totalsRowDxfId="103">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102" totalsRowDxfId="101">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100" totalsRowDxfId="99">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98" totalsRowDxfId="97">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96" totalsRowDxfId="95">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94" totalsRowDxfId="93">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92" totalsRowDxfId="91">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90" totalsRowDxfId="89">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88" totalsRowDxfId="87">
      <calculatedColumnFormula>PRODUCT($BI$5:BI5)</calculatedColumnFormula>
      <totalsRowFormula>SUM(Audit[K-M P Value])</totalsRowFormula>
    </tableColumn>
    <tableColumn id="30" xr3:uid="{00000000-0010-0000-0400-00001E000000}" name="Confidence Level" totalsRowFunction="max" dataDxfId="86" totalsRowDxfId="85">
      <calculatedColumnFormula>1 - Audit[[#This Row],[K-M P Value]]</calculatedColumnFormula>
    </tableColumn>
    <tableColumn id="28" xr3:uid="{00000000-0010-0000-0400-00001C000000}" name="Status - Continue or stop audit" dataDxfId="84" totalsRowDxfId="83">
      <calculatedColumnFormula>IF(Audit[[#This Row],[K-M P Value]]&gt;1-'General Info'!$B$12,"Continue", "Stop")</calculatedColumnFormula>
    </tableColumn>
    <tableColumn id="29" xr3:uid="{00000000-0010-0000-0400-00001D000000}" name="Process Batch" totalsRowFunction="count" dataDxfId="82" totalsRowDxfId="81">
      <calculatedColumnFormula>IF(Audit[[#This Row],[Status - Continue or stop audit]] = "Continue", TRUE, IF(BL4 = "Continue", TRUE, FALSE))</calculatedColumnFormula>
    </tableColumn>
    <tableColumn id="31" xr3:uid="{00000000-0010-0000-0400-00001F000000}" name="Reason For Differences" dataDxfId="80" totalsRowDxfId="79"/>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385" totalsRowCount="1" headerRowDxfId="78" totalsRowDxfId="76" headerRowBorderDxfId="77" totalsRowCellStyle="Comma">
  <autoFilter ref="A4:AJ384" xr:uid="{00000000-0009-0000-0100-000001000000}"/>
  <sortState xmlns:xlrd2="http://schemas.microsoft.com/office/spreadsheetml/2017/richdata2" ref="A2:W1409">
    <sortCondition ref="A1:A1409"/>
  </sortState>
  <tableColumns count="36">
    <tableColumn id="2" xr3:uid="{00000000-0010-0000-0500-000002000000}" name="Batch by Type (p)" totalsRowFunction="count" dataDxfId="75" totalsRowDxfId="74" dataCellStyle="Comma"/>
    <tableColumn id="6" xr3:uid="{00000000-0010-0000-0500-000006000000}" name="Winning Candidate" totalsRowFunction="custom" dataDxfId="73" totalsRowDxfId="72" dataCellStyle="Comma">
      <totalsRowFormula>SUM(SamplingData[Winning Candidate])</totalsRowFormula>
    </tableColumn>
    <tableColumn id="5" xr3:uid="{00000000-0010-0000-0500-000005000000}" name="Losing Candidate" totalsRowFunction="custom" dataDxfId="71" totalsRowDxfId="70" dataCellStyle="Comma">
      <totalsRowFormula>SUM(SamplingData[Losing Candidate])</totalsRowFormula>
    </tableColumn>
    <tableColumn id="18" xr3:uid="{00000000-0010-0000-0500-000012000000}" name="Candidate 3" totalsRowFunction="custom" dataDxfId="69" totalsRowDxfId="68" dataCellStyle="Comma">
      <totalsRowFormula>SUM(SamplingData[Candidate 3])</totalsRowFormula>
    </tableColumn>
    <tableColumn id="17" xr3:uid="{00000000-0010-0000-0500-000011000000}" name="Candidate 4" totalsRowFunction="custom" dataDxfId="67" totalsRowDxfId="66" dataCellStyle="Comma">
      <totalsRowFormula>SUM(SamplingData[Candidate 4])</totalsRowFormula>
    </tableColumn>
    <tableColumn id="16" xr3:uid="{00000000-0010-0000-0500-000010000000}" name="Candidate 5" totalsRowFunction="custom" dataDxfId="65" totalsRowDxfId="64" dataCellStyle="Comma">
      <totalsRowFormula>SUM(SamplingData[Candidate 5])</totalsRowFormula>
    </tableColumn>
    <tableColumn id="25" xr3:uid="{00000000-0010-0000-0500-000019000000}" name="Candidate 6" totalsRowFunction="sum" dataDxfId="63" totalsRowDxfId="62" dataCellStyle="Comma"/>
    <tableColumn id="1" xr3:uid="{00000000-0010-0000-0500-000001000000}" name="Candidate 7" totalsRowFunction="sum" dataDxfId="61" totalsRowDxfId="60" dataCellStyle="Comma"/>
    <tableColumn id="3" xr3:uid="{00000000-0010-0000-0500-000003000000}" name="Candidate 8" totalsRowFunction="custom" dataDxfId="59" totalsRowDxfId="58" dataCellStyle="Comma">
      <totalsRowFormula>SUM(SamplingData[Candidate 8])</totalsRowFormula>
    </tableColumn>
    <tableColumn id="32" xr3:uid="{00000000-0010-0000-0500-000020000000}" name="Candidate 9" dataDxfId="57" totalsRowDxfId="56" dataCellStyle="Comma"/>
    <tableColumn id="31" xr3:uid="{00000000-0010-0000-0500-00001F000000}" name="Candidate 10" dataDxfId="55" totalsRowDxfId="54" dataCellStyle="Comma"/>
    <tableColumn id="30" xr3:uid="{00000000-0010-0000-0500-00001E000000}" name="Candidate 11" dataDxfId="53" totalsRowDxfId="52" dataCellStyle="Comma"/>
    <tableColumn id="29" xr3:uid="{00000000-0010-0000-0500-00001D000000}" name="Candidate 12" dataDxfId="51" totalsRowDxfId="50" dataCellStyle="Comma"/>
    <tableColumn id="7" xr3:uid="{00000000-0010-0000-0500-000007000000}" name="Over Votes" totalsRowFunction="custom" dataDxfId="49" totalsRowDxfId="48" dataCellStyle="Comma">
      <totalsRowFormula>SUM(SamplingData[Over Votes])</totalsRowFormula>
    </tableColumn>
    <tableColumn id="8" xr3:uid="{00000000-0010-0000-0500-000008000000}" name="Under Votes" totalsRowFunction="custom" dataDxfId="47" totalsRowDxfId="46" dataCellStyle="Comma">
      <totalsRowFormula>SUM(SamplingData[Under Votes])</totalsRowFormula>
    </tableColumn>
    <tableColumn id="9" xr3:uid="{00000000-0010-0000-0500-000009000000}" name="Total" totalsRowFunction="custom" dataDxfId="45" totalsRowDxfId="44"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43" totalsRowDxfId="42"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41" totalsRowDxfId="40"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39" totalsRowDxfId="38"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37" totalsRowDxfId="36"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sum" dataDxfId="35" totalsRowDxfId="34"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ableColumn>
    <tableColumn id="27" xr3:uid="{00000000-0010-0000-0500-00001B000000}" name="Error Bound (up) - Max. possible relative overstatement - Candidate 7" totalsRowFunction="sum" dataDxfId="33" totalsRowDxfId="32"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ableColumn>
    <tableColumn id="19" xr3:uid="{00000000-0010-0000-0500-000013000000}" name="Error Bound (up) - Max. possible relative overstatement - Candidate 8" totalsRowFunction="custom" dataDxfId="31" totalsRowDxfId="30"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29" totalsRowDxfId="28"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27" totalsRowDxfId="26"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25" totalsRowDxfId="24"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23" totalsRowDxfId="22"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21" totalsRowDxfId="20"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19" totalsRowDxfId="18"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17" totalsRowDxfId="16" dataCellStyle="Comma">
      <calculatedColumnFormula>SUM($AC$5:AC5)</calculatedColumnFormula>
      <totalsRowFormula>SUM(SamplingData[Running (cumulative) sum])</totalsRowFormula>
    </tableColumn>
    <tableColumn id="24" xr3:uid="{00000000-0010-0000-0500-000018000000}" name="Selection Range" totalsRowFunction="custom" dataDxfId="15" totalsRowDxfId="14"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13" totalsRowDxfId="12"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11" totalsRowDxfId="10"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9" totalsRowDxfId="8"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7" totalsRowDxfId="6"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5" totalsRowDxfId="4"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topLeftCell="A4" workbookViewId="0">
      <selection activeCell="B22" sqref="B22"/>
    </sheetView>
  </sheetViews>
  <sheetFormatPr defaultRowHeight="15" customHeight="1" x14ac:dyDescent="0.35"/>
  <cols>
    <col min="1" max="1" width="51.54296875" bestFit="1" customWidth="1"/>
    <col min="2" max="2" width="33.7265625" customWidth="1"/>
    <col min="4" max="4" width="9.1796875" customWidth="1"/>
  </cols>
  <sheetData>
    <row r="1" spans="1:2" ht="23.5" x14ac:dyDescent="0.35">
      <c r="A1" s="121" t="s">
        <v>10</v>
      </c>
      <c r="B1" s="121"/>
    </row>
    <row r="2" spans="1:2" ht="23.5" x14ac:dyDescent="0.35">
      <c r="A2" s="121" t="s">
        <v>597</v>
      </c>
      <c r="B2" s="121"/>
    </row>
    <row r="3" spans="1:2" ht="14.5" x14ac:dyDescent="0.35">
      <c r="A3" s="72"/>
      <c r="B3" s="72"/>
    </row>
    <row r="4" spans="1:2" ht="14.5" x14ac:dyDescent="0.35">
      <c r="A4" s="122" t="s">
        <v>11</v>
      </c>
      <c r="B4" s="123"/>
    </row>
    <row r="5" spans="1:2" ht="14.5" x14ac:dyDescent="0.35">
      <c r="A5" s="3" t="s">
        <v>12</v>
      </c>
      <c r="B5" s="14" t="s">
        <v>596</v>
      </c>
    </row>
    <row r="6" spans="1:2" ht="14.5" x14ac:dyDescent="0.35">
      <c r="A6" s="3" t="s">
        <v>13</v>
      </c>
      <c r="B6" s="11">
        <v>190</v>
      </c>
    </row>
    <row r="7" spans="1:2" ht="14.5" x14ac:dyDescent="0.35">
      <c r="A7" s="3" t="s">
        <v>14</v>
      </c>
      <c r="B7" s="11">
        <f>COUNTA(SamplingData[Batch by Type (p)])</f>
        <v>380</v>
      </c>
    </row>
    <row r="8" spans="1:2" ht="14.5" x14ac:dyDescent="0.35">
      <c r="A8" s="3" t="s">
        <v>100</v>
      </c>
      <c r="B8" s="11">
        <v>2</v>
      </c>
    </row>
    <row r="9" spans="1:2" ht="14.5" x14ac:dyDescent="0.35">
      <c r="A9" s="3" t="s">
        <v>29</v>
      </c>
      <c r="B9" s="11">
        <v>3</v>
      </c>
    </row>
    <row r="10" spans="1:2" ht="14.5" x14ac:dyDescent="0.35">
      <c r="A10" s="3" t="s">
        <v>15</v>
      </c>
      <c r="B10" s="12">
        <f>SamplingData[[#Totals],[Total]]</f>
        <v>22924</v>
      </c>
    </row>
    <row r="11" spans="1:2" ht="14.5" x14ac:dyDescent="0.35">
      <c r="A11" s="3" t="s">
        <v>16</v>
      </c>
      <c r="B11" s="11">
        <v>55164</v>
      </c>
    </row>
    <row r="12" spans="1:2" ht="14.5" x14ac:dyDescent="0.35">
      <c r="A12" s="3" t="s">
        <v>17</v>
      </c>
      <c r="B12" s="4">
        <v>0.9</v>
      </c>
    </row>
    <row r="13" spans="1:2" ht="14.5" x14ac:dyDescent="0.35">
      <c r="A13" s="3" t="s">
        <v>124</v>
      </c>
      <c r="B13" s="11">
        <f>IF(ISERR(LN(1-$B$12)/LN(1-1/SamplingData[[#Totals],[Max Error Bound (up)]])), 0, ROUNDUP(LN(1-$B$12)/LN(1-1/SamplingData[[#Totals],[Max Error Bound (up)]]), 0))</f>
        <v>5</v>
      </c>
    </row>
    <row r="14" spans="1:2" ht="14.5" x14ac:dyDescent="0.35">
      <c r="A14" s="3" t="s">
        <v>125</v>
      </c>
      <c r="B14" s="11">
        <f>COUNT(SelectedPrecincts[Batch Number])</f>
        <v>5</v>
      </c>
    </row>
    <row r="15" spans="1:2" ht="14.5" x14ac:dyDescent="0.35">
      <c r="A15" s="3" t="s">
        <v>18</v>
      </c>
      <c r="B15" s="11">
        <f>SUMIF(Audit[Process Batch],TRUE,Audit[Times p Drawn - With Replacement])</f>
        <v>5</v>
      </c>
    </row>
    <row r="16" spans="1:2" ht="14.5" x14ac:dyDescent="0.35">
      <c r="A16" s="3" t="s">
        <v>19</v>
      </c>
      <c r="B16" s="11">
        <f>COUNTIF(Audit[Process Batch], TRUE)</f>
        <v>315</v>
      </c>
    </row>
    <row r="17" spans="1:2" ht="14.5" x14ac:dyDescent="0.35">
      <c r="A17" s="3" t="s">
        <v>20</v>
      </c>
      <c r="B17" s="11">
        <f>SUMIF(Audit[Process Batch], TRUE, Audit[Total])</f>
        <v>17474</v>
      </c>
    </row>
    <row r="18" spans="1:2" ht="14.5" x14ac:dyDescent="0.35">
      <c r="A18" s="3" t="s">
        <v>21</v>
      </c>
      <c r="B18" s="11">
        <f>Audit[[#Totals],[Total Differences]]</f>
        <v>0</v>
      </c>
    </row>
    <row r="19" spans="1:2" ht="14.5" x14ac:dyDescent="0.35">
      <c r="A19" s="5" t="s">
        <v>22</v>
      </c>
      <c r="B19" s="13">
        <f>IF($B$17 = 0, 0, $B$18/$B$17)</f>
        <v>0</v>
      </c>
    </row>
    <row r="20" spans="1:2" ht="14.5" x14ac:dyDescent="0.35">
      <c r="A20" s="5" t="s">
        <v>23</v>
      </c>
      <c r="B20" s="11">
        <v>173</v>
      </c>
    </row>
    <row r="21" spans="1:2" ht="14.5" x14ac:dyDescent="0.35">
      <c r="A21" s="5" t="s">
        <v>24</v>
      </c>
      <c r="B21" s="11">
        <v>190</v>
      </c>
    </row>
    <row r="22" spans="1:2" ht="14.5" x14ac:dyDescent="0.35">
      <c r="A22" s="3" t="s">
        <v>25</v>
      </c>
      <c r="B22" s="178">
        <v>0</v>
      </c>
    </row>
    <row r="23" spans="1:2" ht="14.5" x14ac:dyDescent="0.35">
      <c r="A23" s="5" t="s">
        <v>26</v>
      </c>
      <c r="B23" s="6">
        <f>IF($B$10 = 0,0, IF(ISNUMBER($B$22), ($B$22/$B$10), 0))</f>
        <v>0</v>
      </c>
    </row>
    <row r="24" spans="1:2" ht="14.5" x14ac:dyDescent="0.35">
      <c r="A24" s="5" t="s">
        <v>27</v>
      </c>
      <c r="B24" s="6">
        <f>IF(ISERR($B$22/$B$11), 0, $B$22/$B$11)</f>
        <v>0</v>
      </c>
    </row>
    <row r="25" spans="1:2" ht="15" customHeight="1" x14ac:dyDescent="0.35">
      <c r="A25" s="73"/>
      <c r="B25" s="73"/>
    </row>
    <row r="26" spans="1:2" ht="14.5" x14ac:dyDescent="0.35">
      <c r="A26" s="122" t="s">
        <v>113</v>
      </c>
      <c r="B26" s="126"/>
    </row>
    <row r="27" spans="1:2" ht="14.5" x14ac:dyDescent="0.35">
      <c r="A27" s="26" t="s">
        <v>103</v>
      </c>
      <c r="B27" s="27" t="s">
        <v>598</v>
      </c>
    </row>
    <row r="28" spans="1:2" ht="14.5" x14ac:dyDescent="0.35">
      <c r="A28" s="26" t="s">
        <v>104</v>
      </c>
      <c r="B28" s="27" t="s">
        <v>599</v>
      </c>
    </row>
    <row r="29" spans="1:2" ht="14.5" x14ac:dyDescent="0.35">
      <c r="A29" s="26" t="s">
        <v>48</v>
      </c>
      <c r="B29" s="27" t="s">
        <v>600</v>
      </c>
    </row>
    <row r="30" spans="1:2" ht="14.5" hidden="1" x14ac:dyDescent="0.35">
      <c r="A30" s="26" t="s">
        <v>49</v>
      </c>
      <c r="B30" s="27"/>
    </row>
    <row r="31" spans="1:2" ht="14.5" hidden="1" x14ac:dyDescent="0.35">
      <c r="A31" s="26" t="s">
        <v>50</v>
      </c>
      <c r="B31" s="85"/>
    </row>
    <row r="32" spans="1:2" ht="14.5" hidden="1" x14ac:dyDescent="0.35">
      <c r="A32" s="26" t="s">
        <v>51</v>
      </c>
      <c r="B32" s="27"/>
    </row>
    <row r="33" spans="1:2" ht="14.5" hidden="1" x14ac:dyDescent="0.35">
      <c r="A33" s="84" t="s">
        <v>168</v>
      </c>
      <c r="B33" s="85"/>
    </row>
    <row r="34" spans="1:2" ht="14.5" hidden="1" x14ac:dyDescent="0.35">
      <c r="A34" s="84" t="s">
        <v>169</v>
      </c>
      <c r="B34" s="27"/>
    </row>
    <row r="35" spans="1:2" ht="14.5" hidden="1" x14ac:dyDescent="0.35">
      <c r="A35" s="84" t="s">
        <v>184</v>
      </c>
      <c r="B35" s="85"/>
    </row>
    <row r="36" spans="1:2" ht="14.5" hidden="1" x14ac:dyDescent="0.35">
      <c r="A36" s="84" t="s">
        <v>185</v>
      </c>
      <c r="B36" s="85"/>
    </row>
    <row r="37" spans="1:2" ht="14.5" hidden="1" x14ac:dyDescent="0.35">
      <c r="A37" s="84" t="s">
        <v>186</v>
      </c>
      <c r="B37" s="85"/>
    </row>
    <row r="38" spans="1:2" ht="14.5" hidden="1" x14ac:dyDescent="0.35">
      <c r="A38" s="84" t="s">
        <v>187</v>
      </c>
      <c r="B38" s="85"/>
    </row>
    <row r="39" spans="1:2" ht="15" customHeight="1" x14ac:dyDescent="0.35">
      <c r="A39" s="72"/>
      <c r="B39" s="72"/>
    </row>
    <row r="40" spans="1:2" ht="15" customHeight="1" x14ac:dyDescent="0.35">
      <c r="A40" s="122" t="s">
        <v>44</v>
      </c>
      <c r="B40" s="123"/>
    </row>
    <row r="41" spans="1:2" ht="15" customHeight="1" x14ac:dyDescent="0.35">
      <c r="A41" s="7" t="s">
        <v>42</v>
      </c>
      <c r="B41" s="50">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99999</v>
      </c>
    </row>
    <row r="42" spans="1:2" ht="15" customHeight="1" x14ac:dyDescent="0.35">
      <c r="A42" s="8" t="s">
        <v>40</v>
      </c>
      <c r="B42" s="89">
        <v>99999</v>
      </c>
    </row>
    <row r="43" spans="1:2" ht="15" customHeight="1" x14ac:dyDescent="0.35">
      <c r="A43" s="88" t="s">
        <v>41</v>
      </c>
      <c r="B43" s="91">
        <v>0</v>
      </c>
    </row>
    <row r="44" spans="1:2" ht="15" customHeight="1" x14ac:dyDescent="0.35">
      <c r="A44" s="8" t="s">
        <v>39</v>
      </c>
      <c r="B44" s="90">
        <f>IF(ISERR(B42-B43 + 1), 0, B42-B43 + 1)</f>
        <v>100000</v>
      </c>
    </row>
    <row r="45" spans="1:2" ht="15" customHeight="1" x14ac:dyDescent="0.35">
      <c r="A45" s="74"/>
      <c r="B45" s="74"/>
    </row>
    <row r="46" spans="1:2" ht="14.5" x14ac:dyDescent="0.35">
      <c r="A46" s="124" t="s">
        <v>161</v>
      </c>
      <c r="B46" s="125"/>
    </row>
    <row r="47" spans="1:2" ht="14.5" x14ac:dyDescent="0.35">
      <c r="A47" s="9" t="s">
        <v>45</v>
      </c>
      <c r="B47" s="10" t="s">
        <v>46</v>
      </c>
    </row>
    <row r="48" spans="1:2" ht="14.5" x14ac:dyDescent="0.35">
      <c r="A48" t="str">
        <f t="array" ref="A48">IF(COUNTIF(Audit[Total Differences], "&lt;&gt;0")&gt;=ROW()-ROW($A$47),INDEX(Audit[Precinct (p) - Batched by Type],SMALL(IF(Audit[Total Differences]&lt;&gt;0,ROW(Audit[Total Differences])-ROW(Audit[#Headers]),""),ROW() - ROW(Table7[#Headers]))),"END")</f>
        <v>END</v>
      </c>
      <c r="B48" t="str">
        <f t="array" ref="B48">IF(COUNTIF(Audit[Total Differences], "&lt;&gt;0")&gt;=ROW()-ROW($A$47),INDEX(Audit[Reason For Differences],SMALL(IF(Audit[Total Differences]&lt;&gt;0,ROW(Audit[Total Differences])-ROW(Audit[#Headers]),""),ROW() - ROW(Table7[#Headers]))),"END")</f>
        <v>END</v>
      </c>
    </row>
  </sheetData>
  <mergeCells count="6">
    <mergeCell ref="A1:B1"/>
    <mergeCell ref="A2:B2"/>
    <mergeCell ref="A4:B4"/>
    <mergeCell ref="A40:B40"/>
    <mergeCell ref="A46:B46"/>
    <mergeCell ref="A26:B26"/>
  </mergeCells>
  <conditionalFormatting sqref="B44">
    <cfRule type="expression" dxfId="3" priority="3">
      <formula>$B$44 &lt; $B$41</formula>
    </cfRule>
  </conditionalFormatting>
  <printOptions horizontalCentered="1" gridLines="1"/>
  <pageMargins left="0.7" right="0.7" top="0.75" bottom="0.75" header="0.3" footer="0.3"/>
  <pageSetup fitToHeight="0" orientation="portrait"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12"/>
  <sheetViews>
    <sheetView zoomScaleNormal="100" workbookViewId="0">
      <selection activeCell="B8" sqref="B8"/>
    </sheetView>
  </sheetViews>
  <sheetFormatPr defaultRowHeight="15" customHeight="1" x14ac:dyDescent="0.35"/>
  <cols>
    <col min="1" max="1" width="14.26953125" customWidth="1"/>
    <col min="2" max="2" width="18.7265625" customWidth="1"/>
    <col min="3" max="3" width="42.7265625" bestFit="1" customWidth="1"/>
  </cols>
  <sheetData>
    <row r="1" spans="1:3" ht="15" customHeight="1" x14ac:dyDescent="0.35">
      <c r="A1" s="122" t="str">
        <f ca="1">MID(CELL("filename",$A$2), FIND("]", CELL("filename",$A$2)) + 1, 255)</f>
        <v>Selected Batches</v>
      </c>
      <c r="B1" s="127"/>
      <c r="C1" s="123"/>
    </row>
    <row r="2" spans="1:3" ht="15" customHeight="1" x14ac:dyDescent="0.35">
      <c r="A2" s="2" t="s">
        <v>28</v>
      </c>
      <c r="B2" s="2" t="s">
        <v>8</v>
      </c>
      <c r="C2" s="2" t="s">
        <v>9</v>
      </c>
    </row>
    <row r="3" spans="1:3" ht="15" customHeight="1" x14ac:dyDescent="0.35">
      <c r="A3" s="24">
        <f t="shared" ref="A3:A12" si="0">ROW() -2</f>
        <v>1</v>
      </c>
      <c r="B3" s="48">
        <v>2658</v>
      </c>
      <c r="C3" s="25"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0211 CIN 2-K   (AV)</v>
      </c>
    </row>
    <row r="4" spans="1:3" ht="15" customHeight="1" x14ac:dyDescent="0.35">
      <c r="A4" s="24">
        <f t="shared" si="0"/>
        <v>2</v>
      </c>
      <c r="B4" s="49">
        <v>5418</v>
      </c>
      <c r="C4" s="25"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0509 CIN 5-I   (AV)</v>
      </c>
    </row>
    <row r="5" spans="1:3" ht="15" customHeight="1" x14ac:dyDescent="0.35">
      <c r="A5" s="24">
        <f t="shared" si="0"/>
        <v>3</v>
      </c>
      <c r="B5" s="49">
        <v>8485</v>
      </c>
      <c r="C5" s="25"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1101 CIN 11-A   (AV)</v>
      </c>
    </row>
    <row r="6" spans="1:3" ht="15" customHeight="1" x14ac:dyDescent="0.35">
      <c r="A6" s="24">
        <f t="shared" si="0"/>
        <v>4</v>
      </c>
      <c r="B6" s="49">
        <v>76321</v>
      </c>
      <c r="C6" s="25"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2101 CIN 21-A   (ED)</v>
      </c>
    </row>
    <row r="7" spans="1:3" ht="15" customHeight="1" x14ac:dyDescent="0.35">
      <c r="A7" s="24">
        <f t="shared" si="0"/>
        <v>5</v>
      </c>
      <c r="B7" s="49">
        <v>69694</v>
      </c>
      <c r="C7" s="25"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1507 CIN 15-G   (ED)</v>
      </c>
    </row>
    <row r="8" spans="1:3" ht="15" customHeight="1" x14ac:dyDescent="0.35">
      <c r="A8" s="24">
        <f t="shared" si="0"/>
        <v>6</v>
      </c>
      <c r="B8" s="49"/>
      <c r="C8" s="25"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9" spans="1:3" ht="15" customHeight="1" x14ac:dyDescent="0.35">
      <c r="A9" s="24">
        <f t="shared" si="0"/>
        <v>7</v>
      </c>
      <c r="B9" s="49"/>
      <c r="C9" s="25"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0" spans="1:3" ht="15" customHeight="1" x14ac:dyDescent="0.35">
      <c r="A10" s="24">
        <f t="shared" si="0"/>
        <v>8</v>
      </c>
      <c r="B10" s="49"/>
      <c r="C10" s="25"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1" spans="1:3" ht="15" customHeight="1" x14ac:dyDescent="0.35">
      <c r="A11" s="24">
        <f t="shared" si="0"/>
        <v>9</v>
      </c>
      <c r="B11" s="49"/>
      <c r="C11" s="25"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row r="12" spans="1:3" ht="15" customHeight="1" x14ac:dyDescent="0.35">
      <c r="A12" s="24">
        <f t="shared" si="0"/>
        <v>10</v>
      </c>
      <c r="B12" s="49"/>
      <c r="C12" s="25"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No Batch Number</v>
      </c>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385"/>
  <sheetViews>
    <sheetView zoomScaleNormal="100" zoomScalePageLayoutView="80" workbookViewId="0">
      <pane ySplit="4" topLeftCell="A5" activePane="bottomLeft" state="frozen"/>
      <selection pane="bottomLeft" activeCell="Q28" sqref="Q28:Q319"/>
    </sheetView>
  </sheetViews>
  <sheetFormatPr defaultRowHeight="15" customHeight="1" x14ac:dyDescent="0.35"/>
  <cols>
    <col min="1" max="1" width="12.81640625" customWidth="1"/>
    <col min="2" max="2" width="39.453125" bestFit="1" customWidth="1"/>
    <col min="3" max="3" width="14.26953125" customWidth="1"/>
    <col min="4" max="4" width="17.54296875" customWidth="1"/>
    <col min="5" max="5" width="15.7265625" customWidth="1"/>
    <col min="6" max="6" width="15.7265625" hidden="1" customWidth="1"/>
    <col min="7" max="7" width="14.54296875" hidden="1" customWidth="1"/>
    <col min="8" max="8" width="15.453125" hidden="1" customWidth="1"/>
    <col min="9" max="9" width="17.26953125" hidden="1" customWidth="1"/>
    <col min="10" max="10" width="16.26953125" hidden="1" customWidth="1"/>
    <col min="11" max="11" width="16.1796875" hidden="1" customWidth="1"/>
    <col min="12" max="12" width="16.54296875" hidden="1" customWidth="1"/>
    <col min="13" max="13" width="15.54296875" hidden="1" customWidth="1"/>
    <col min="14" max="14" width="15.81640625" hidden="1" customWidth="1"/>
    <col min="15" max="15" width="13.1796875" customWidth="1"/>
    <col min="16" max="16" width="12.7265625" customWidth="1"/>
    <col min="17" max="17" width="13" customWidth="1"/>
    <col min="18" max="18" width="12.453125" customWidth="1"/>
    <col min="19" max="19" width="14.26953125" customWidth="1"/>
    <col min="20" max="20" width="17.54296875" customWidth="1"/>
    <col min="21" max="21" width="15.26953125" customWidth="1"/>
    <col min="22" max="22" width="16.1796875" hidden="1" customWidth="1"/>
    <col min="23" max="23" width="15.7265625" hidden="1" customWidth="1"/>
    <col min="24" max="24" width="15.26953125" hidden="1" customWidth="1"/>
    <col min="25" max="25" width="15.7265625" hidden="1" customWidth="1"/>
    <col min="26" max="26" width="15.54296875" hidden="1" customWidth="1"/>
    <col min="27" max="28" width="14.453125" hidden="1" customWidth="1"/>
    <col min="29" max="30" width="15.1796875" hidden="1" customWidth="1"/>
    <col min="31" max="31" width="14.81640625" hidden="1" customWidth="1"/>
    <col min="32" max="32" width="14.26953125" hidden="1" customWidth="1"/>
    <col min="33" max="34" width="15.453125" hidden="1" customWidth="1"/>
    <col min="35" max="35" width="14.81640625" hidden="1" customWidth="1"/>
    <col min="36" max="37" width="14.54296875" hidden="1" customWidth="1"/>
    <col min="38" max="42" width="14.7265625" hidden="1" customWidth="1"/>
    <col min="43" max="44" width="16.1796875" hidden="1" customWidth="1"/>
    <col min="45" max="45" width="15.453125" customWidth="1"/>
    <col min="46" max="47" width="20.453125" hidden="1" customWidth="1"/>
    <col min="48" max="48" width="18.1796875" hidden="1" customWidth="1"/>
    <col min="49" max="49" width="20.7265625" hidden="1" customWidth="1"/>
    <col min="50" max="52" width="21" hidden="1" customWidth="1"/>
    <col min="53" max="57" width="20.453125" hidden="1" customWidth="1"/>
    <col min="58" max="58" width="14.54296875" hidden="1" customWidth="1"/>
    <col min="59" max="59" width="21.54296875" hidden="1" customWidth="1"/>
    <col min="60" max="60" width="15.1796875" hidden="1" customWidth="1"/>
    <col min="61" max="61" width="18.453125" hidden="1" customWidth="1"/>
    <col min="62" max="62" width="16.7265625" hidden="1" customWidth="1"/>
    <col min="63" max="63" width="15.1796875" customWidth="1"/>
    <col min="64" max="64" width="12.7265625" customWidth="1"/>
    <col min="65" max="65" width="11" hidden="1" customWidth="1"/>
    <col min="66" max="66" width="34.54296875" customWidth="1"/>
    <col min="67" max="67" width="12.7265625" customWidth="1"/>
    <col min="68" max="68" width="18" customWidth="1"/>
    <col min="69" max="69" width="26.453125" bestFit="1" customWidth="1"/>
    <col min="70" max="70" width="4.7265625" bestFit="1" customWidth="1"/>
  </cols>
  <sheetData>
    <row r="1" spans="1:67" ht="15" customHeight="1" x14ac:dyDescent="0.35">
      <c r="A1" s="131" t="str">
        <f ca="1">MID(CELL("filename",$A$4), FIND("]", CELL("filename",$A$4)) + 1, 255)</f>
        <v>Audit</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47">
        <f>'General Info'!$B$12</f>
        <v>0.9</v>
      </c>
    </row>
    <row r="2" spans="1:67" ht="15" customHeight="1" x14ac:dyDescent="0.35">
      <c r="A2" s="128" t="s">
        <v>99</v>
      </c>
      <c r="B2" s="129"/>
      <c r="C2" s="129"/>
      <c r="D2" s="129"/>
      <c r="E2" s="129"/>
      <c r="F2" s="129"/>
      <c r="G2" s="129"/>
      <c r="H2" s="129"/>
      <c r="I2" s="129"/>
      <c r="J2" s="129"/>
      <c r="K2" s="129"/>
      <c r="L2" s="129"/>
      <c r="M2" s="129"/>
      <c r="N2" s="129"/>
      <c r="O2" s="129"/>
      <c r="P2" s="129"/>
      <c r="Q2" s="129"/>
      <c r="R2" s="130"/>
      <c r="S2" s="133" t="s">
        <v>98</v>
      </c>
      <c r="T2" s="134"/>
      <c r="U2" s="134"/>
      <c r="V2" s="134"/>
      <c r="W2" s="134"/>
      <c r="X2" s="134"/>
      <c r="Y2" s="134"/>
      <c r="Z2" s="135"/>
      <c r="AA2" s="92"/>
      <c r="AB2" s="92"/>
      <c r="AC2" s="92"/>
      <c r="AD2" s="92"/>
      <c r="AE2" s="128" t="s">
        <v>99</v>
      </c>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30"/>
      <c r="BN2" s="28" t="s">
        <v>98</v>
      </c>
    </row>
    <row r="3" spans="1:67" ht="74.5" x14ac:dyDescent="0.35">
      <c r="A3" s="34" t="s">
        <v>97</v>
      </c>
      <c r="B3" s="34" t="s">
        <v>64</v>
      </c>
      <c r="C3" s="34" t="str">
        <f>IF(ISBLANK('General Info'!$B$27), "UNDEFINED", 'General Info'!$B$27 &amp; "
(Declared Winner)")</f>
        <v>Pureval
(Declared Winner)</v>
      </c>
      <c r="D3" s="34" t="str">
        <f>IF(ISBLANK('General Info'!$B$28),"UNDEFINED",'General Info'!$B$28&amp;"
(Declared Loser)")</f>
        <v>Bowman
(Declared Loser)</v>
      </c>
      <c r="E3" s="34" t="str">
        <f>IF(ISBLANK('General Info'!$B$29), "UNDEFINED", 'General Info'!$B$29)</f>
        <v>Frank</v>
      </c>
      <c r="F3" s="34" t="str">
        <f>IF(ISBLANK('General Info'!$B$30), "UNDEFINED",'General Info'!$B$30)</f>
        <v>UNDEFINED</v>
      </c>
      <c r="G3" s="34" t="str">
        <f>IF(ISBLANK('General Info'!$B$31), "UNDEFINED",'General Info'!$B$31)</f>
        <v>UNDEFINED</v>
      </c>
      <c r="H3" s="83" t="str">
        <f>IF(ISBLANK('General Info'!$B$31), "UNDEFINED",'General Info'!$B$32)</f>
        <v>UNDEFINED</v>
      </c>
      <c r="I3" s="34" t="str">
        <f>IF(ISBLANK('General Info'!$B$31), "UNDEFINED",'General Info'!$B$33)</f>
        <v>UNDEFINED</v>
      </c>
      <c r="J3" s="34" t="str">
        <f>IF(ISBLANK('General Info'!$B$34), "UNDEFINED",'General Info'!$B$34)</f>
        <v>UNDEFINED</v>
      </c>
      <c r="K3" s="34" t="str">
        <f>IF(ISBLANK('General Info'!$B$35), "UNDEFINED",'General Info'!$B$35)</f>
        <v>UNDEFINED</v>
      </c>
      <c r="L3" s="34" t="str">
        <f>IF(ISBLANK('General Info'!$B$36), "UNDEFINED",'General Info'!$B$36)</f>
        <v>UNDEFINED</v>
      </c>
      <c r="M3" s="34" t="str">
        <f>IF(ISBLANK('General Info'!$B$37), "UNDEFINED",'General Info'!$B$37)</f>
        <v>UNDEFINED</v>
      </c>
      <c r="N3" s="34" t="str">
        <f>IF(ISBLANK('General Info'!$B$38), "UNDEFINED",'General Info'!$B$38)</f>
        <v>UNDEFINED</v>
      </c>
      <c r="O3" s="36" t="s">
        <v>6</v>
      </c>
      <c r="P3" s="36" t="s">
        <v>7</v>
      </c>
      <c r="Q3" s="36" t="s">
        <v>0</v>
      </c>
      <c r="R3" s="36" t="s">
        <v>66</v>
      </c>
      <c r="S3" s="28" t="str">
        <f>"Audit
" &amp; IF(ISBLANK('General Info'!$B$27), "UNDEFINED", 'General Info'!$B$27 &amp; "
(Winner)")</f>
        <v>Audit
Pureval
(Winner)</v>
      </c>
      <c r="T3" s="28" t="str">
        <f>"Audit
" &amp; IF(ISBLANK('General Info'!$B$28),"UNDEFINED",'General Info'!$B$28&amp;"
(Loser)")</f>
        <v>Audit
Bowman
(Loser)</v>
      </c>
      <c r="U3" s="28" t="str">
        <f>"Audit
" &amp; IF(ISBLANK('General Info'!$B$29), "UNDEFINED", 'General Info'!$B$29)</f>
        <v>Audit
Frank</v>
      </c>
      <c r="V3" s="28" t="str">
        <f>"Audit
" &amp; IF(ISBLANK('General Info'!$B$30), "UNDEFINED",'General Info'!$B$30)</f>
        <v>Audit
UNDEFINED</v>
      </c>
      <c r="W3" s="28" t="str">
        <f>"Audit
" &amp; IF(ISBLANK('General Info'!$B$31), "UNDEFINED",'General Info'!$B$31)</f>
        <v>Audit
UNDEFINED</v>
      </c>
      <c r="X3" s="28" t="str">
        <f>"Audit
" &amp; IF(ISBLANK('General Info'!$B$32), "UNDEFINED",'General Info'!$B$32)</f>
        <v>Audit
UNDEFINED</v>
      </c>
      <c r="Y3" s="28" t="str">
        <f>"Audit
" &amp; IF(ISBLANK('General Info'!$B$33), "UNDEFINED",'General Info'!$B$33)</f>
        <v>Audit
UNDEFINED</v>
      </c>
      <c r="Z3" s="28" t="str">
        <f>"Audit
" &amp; IF(ISBLANK('General Info'!$B$34), "UNDEFINED",'General Info'!$B$34)</f>
        <v>Audit
UNDEFINED</v>
      </c>
      <c r="AA3" s="28" t="str">
        <f>"Audit
" &amp; IF(ISBLANK('General Info'!$B$35), "UNDEFINED",'General Info'!$B$35)</f>
        <v>Audit
UNDEFINED</v>
      </c>
      <c r="AB3" s="28" t="str">
        <f>"Audit
" &amp; IF(ISBLANK('General Info'!$B$36), "UNDEFINED",'General Info'!$B$36)</f>
        <v>Audit
UNDEFINED</v>
      </c>
      <c r="AC3" s="28" t="str">
        <f>"Audit
" &amp; IF(ISBLANK('General Info'!$B$37), "UNDEFINED",'General Info'!$B$37)</f>
        <v>Audit
UNDEFINED</v>
      </c>
      <c r="AD3" s="28" t="str">
        <f>"Audit
" &amp; IF(ISBLANK('General Info'!$B$38), "UNDEFINED",'General Info'!$B$38)</f>
        <v>Audit
UNDEFINED</v>
      </c>
      <c r="AE3" s="43" t="str">
        <f>"Difference
" &amp; IF(ISBLANK('General Info'!$B$27), "UNDEFINED", 'General Info'!$B$27 &amp; "
(Winner)")</f>
        <v>Difference
Pureval
(Winner)</v>
      </c>
      <c r="AF3" s="43" t="str">
        <f>"Difference
" &amp; IF(ISBLANK('General Info'!$B$28),"UNDEFINED",'General Info'!$B$28&amp;"
(Loser)")</f>
        <v>Difference
Bowman
(Loser)</v>
      </c>
      <c r="AG3" s="43" t="str">
        <f>"Difference
" &amp; IF(ISBLANK('General Info'!$B$29), "UNDEFINED", 'General Info'!$B$29)</f>
        <v>Difference
Frank</v>
      </c>
      <c r="AH3" s="43" t="str">
        <f>"Difference
" &amp; IF(ISBLANK('General Info'!$B$30), "UNDEFINED",'General Info'!$B$30)</f>
        <v>Difference
UNDEFINED</v>
      </c>
      <c r="AI3" s="43" t="str">
        <f>"Difference
" &amp; IF(ISBLANK('General Info'!$B$31), "UNDEFINED",'General Info'!$B$31)</f>
        <v>Difference
UNDEFINED</v>
      </c>
      <c r="AJ3" s="43" t="str">
        <f>"Difference
" &amp; IF(ISBLANK('General Info'!$B$32), "UNDEFINED",'General Info'!$B$32)</f>
        <v>Difference
UNDEFINED</v>
      </c>
      <c r="AK3" s="43" t="str">
        <f>"Difference
" &amp; IF(ISBLANK('General Info'!$B$33), "UNDEFINED",'General Info'!$B$33)</f>
        <v>Difference
UNDEFINED</v>
      </c>
      <c r="AL3" s="43" t="str">
        <f>"Difference
" &amp; IF(ISBLANK('General Info'!$B$34), "UNDEFINED",'General Info'!$B$34)</f>
        <v>Difference
UNDEFINED</v>
      </c>
      <c r="AM3" s="43" t="str">
        <f>"Difference
" &amp; IF(ISBLANK('General Info'!$B$35), "UNDEFINED",'General Info'!$B$35)</f>
        <v>Difference
UNDEFINED</v>
      </c>
      <c r="AN3" s="43" t="str">
        <f>"Difference
" &amp; IF(ISBLANK('General Info'!$B$36), "UNDEFINED",'General Info'!$B$36)</f>
        <v>Difference
UNDEFINED</v>
      </c>
      <c r="AO3" s="43" t="str">
        <f>"Difference
" &amp; IF(ISBLANK('General Info'!$B$37), "UNDEFINED",'General Info'!$B$37)</f>
        <v>Difference
UNDEFINED</v>
      </c>
      <c r="AP3" s="43" t="str">
        <f>"Difference
" &amp; IF(ISBLANK('General Info'!$B$38), "UNDEFINED",'General Info'!$B$38)</f>
        <v>Difference
UNDEFINED</v>
      </c>
      <c r="AQ3" s="43" t="s">
        <v>35</v>
      </c>
      <c r="AR3" s="43" t="s">
        <v>36</v>
      </c>
      <c r="AS3" s="44" t="s">
        <v>37</v>
      </c>
      <c r="AT3" s="34" t="s">
        <v>65</v>
      </c>
      <c r="AU3" s="43" t="str">
        <f>IF(ISBLANK('General Info'!$B$28),"UNDEFINED","Relative Error (ep) - 
Error Rate as a proportion of the margin of victory for "&amp;'General Info'!$B$28&amp;" (Loser)")</f>
        <v>Relative Error (ep) - 
Error Rate as a proportion of the margin of victory for Bowman (Loser)</v>
      </c>
      <c r="AV3" s="43" t="str">
        <f>"Relative Error (ep) - " &amp; IF(ISBLANK('General Info'!$B$29),"UNDEFINED","Error Rate as a proportion of the margin of victory for " &amp; 'General Info'!$B$29)</f>
        <v>Relative Error (ep) - Error Rate as a proportion of the margin of victory for Frank</v>
      </c>
      <c r="AW3" s="43" t="str">
        <f>"Relative Error (ep) - " &amp; IF(ISBLANK('General Info'!$B$30),"UNDEFINED","Error Rate as a proportion of the margin of victory for " &amp; 'General Info'!$B$30)</f>
        <v>Relative Error (ep) - UNDEFINED</v>
      </c>
      <c r="AX3" s="43" t="str">
        <f>"Relative Error (ep) - " &amp; IF(ISBLANK('General Info'!$B$31),"UNDEFINED","Error Rate as a proportion of the margin of victory for " &amp; 'General Info'!$B$31)</f>
        <v>Relative Error (ep) - UNDEFINED</v>
      </c>
      <c r="AY3" s="43" t="str">
        <f>"Relative Error (ep) - " &amp; IF(ISBLANK('General Info'!$B$32),"UNDEFINED","Error Rate as a proportion of the margin of victory for " &amp; 'General Info'!$B$32)</f>
        <v>Relative Error (ep) - UNDEFINED</v>
      </c>
      <c r="AZ3" s="43" t="str">
        <f>"Relative Error (ep) - " &amp; IF(ISBLANK('General Info'!$B$33),"UNDEFINED","Error Rate as a proportion of the margin of victory for " &amp; 'General Info'!$B$33)</f>
        <v>Relative Error (ep) - UNDEFINED</v>
      </c>
      <c r="BA3" s="43" t="str">
        <f>"Relative Error (ep) - " &amp; IF(ISBLANK('General Info'!$B$34),"UNDEFINED","Error Rate as a proportion of the margin of victory for " &amp; 'General Info'!$B$34)</f>
        <v>Relative Error (ep) - UNDEFINED</v>
      </c>
      <c r="BB3" s="43" t="str">
        <f>"Relative Error (ep) - " &amp; IF(ISBLANK('General Info'!$B$35),"UNDEFINED","Error Rate as a proportion of the margin of victory for " &amp; 'General Info'!$B$35)</f>
        <v>Relative Error (ep) - UNDEFINED</v>
      </c>
      <c r="BC3" s="43" t="str">
        <f>"Relative Error (ep) - " &amp; IF(ISBLANK('General Info'!$B$36),"UNDEFINED","Error Rate as a proportion of the margin of victory for " &amp; 'General Info'!$B$36)</f>
        <v>Relative Error (ep) - UNDEFINED</v>
      </c>
      <c r="BD3" s="43" t="str">
        <f>"Relative Error (ep) - " &amp; IF(ISBLANK('General Info'!$B$37),"UNDEFINED","Error Rate as a proportion of the margin of victory for " &amp; 'General Info'!$B$37)</f>
        <v>Relative Error (ep) - UNDEFINED</v>
      </c>
      <c r="BE3" s="43" t="str">
        <f>"Relative Error (ep) - " &amp; IF(ISBLANK('General Info'!$B$38),"UNDEFINED","Error Rate as a proportion of the margin of victory for " &amp; 'General Info'!$B$38)</f>
        <v>Relative Error (ep) - UNDEFINED</v>
      </c>
      <c r="BF3" s="43" t="s">
        <v>92</v>
      </c>
      <c r="BG3" s="43" t="s">
        <v>67</v>
      </c>
      <c r="BH3" s="43" t="s">
        <v>1</v>
      </c>
      <c r="BI3" s="43" t="s">
        <v>3</v>
      </c>
      <c r="BJ3" s="43" t="s">
        <v>2</v>
      </c>
      <c r="BK3" s="45" t="s">
        <v>17</v>
      </c>
      <c r="BL3" s="43" t="s">
        <v>4</v>
      </c>
      <c r="BM3" s="43" t="s">
        <v>38</v>
      </c>
      <c r="BN3" s="46" t="s">
        <v>43</v>
      </c>
    </row>
    <row r="4" spans="1:67" s="1" customFormat="1" ht="18.75" customHeight="1" x14ac:dyDescent="0.35">
      <c r="A4" s="35" t="s">
        <v>96</v>
      </c>
      <c r="B4" s="35" t="s">
        <v>55</v>
      </c>
      <c r="C4" s="37" t="s">
        <v>47</v>
      </c>
      <c r="D4" s="37" t="s">
        <v>61</v>
      </c>
      <c r="E4" s="37" t="s">
        <v>62</v>
      </c>
      <c r="F4" s="37" t="s">
        <v>63</v>
      </c>
      <c r="G4" s="37" t="s">
        <v>52</v>
      </c>
      <c r="H4" s="86" t="s">
        <v>53</v>
      </c>
      <c r="I4" s="37" t="s">
        <v>167</v>
      </c>
      <c r="J4" s="37" t="s">
        <v>166</v>
      </c>
      <c r="K4" s="37" t="s">
        <v>188</v>
      </c>
      <c r="L4" s="37" t="s">
        <v>189</v>
      </c>
      <c r="M4" s="37" t="s">
        <v>190</v>
      </c>
      <c r="N4" s="37" t="s">
        <v>191</v>
      </c>
      <c r="O4" s="37" t="s">
        <v>6</v>
      </c>
      <c r="P4" s="37" t="s">
        <v>7</v>
      </c>
      <c r="Q4" s="37" t="s">
        <v>0</v>
      </c>
      <c r="R4" s="37" t="s">
        <v>58</v>
      </c>
      <c r="S4" s="38" t="s">
        <v>69</v>
      </c>
      <c r="T4" s="38" t="s">
        <v>68</v>
      </c>
      <c r="U4" s="38" t="s">
        <v>70</v>
      </c>
      <c r="V4" s="38" t="s">
        <v>71</v>
      </c>
      <c r="W4" s="38" t="s">
        <v>72</v>
      </c>
      <c r="X4" s="38" t="s">
        <v>73</v>
      </c>
      <c r="Y4" s="38" t="s">
        <v>171</v>
      </c>
      <c r="Z4" s="38" t="s">
        <v>170</v>
      </c>
      <c r="AA4" s="38" t="s">
        <v>196</v>
      </c>
      <c r="AB4" s="38" t="s">
        <v>197</v>
      </c>
      <c r="AC4" s="38" t="s">
        <v>198</v>
      </c>
      <c r="AD4" s="38" t="s">
        <v>199</v>
      </c>
      <c r="AE4" s="39" t="s">
        <v>34</v>
      </c>
      <c r="AF4" s="39" t="s">
        <v>33</v>
      </c>
      <c r="AG4" s="39" t="s">
        <v>76</v>
      </c>
      <c r="AH4" s="39" t="s">
        <v>77</v>
      </c>
      <c r="AI4" s="39" t="s">
        <v>78</v>
      </c>
      <c r="AJ4" s="39" t="s">
        <v>79</v>
      </c>
      <c r="AK4" s="39" t="s">
        <v>175</v>
      </c>
      <c r="AL4" s="39" t="s">
        <v>174</v>
      </c>
      <c r="AM4" s="39" t="s">
        <v>200</v>
      </c>
      <c r="AN4" s="39" t="s">
        <v>201</v>
      </c>
      <c r="AO4" s="39" t="s">
        <v>202</v>
      </c>
      <c r="AP4" s="39" t="s">
        <v>203</v>
      </c>
      <c r="AQ4" s="39" t="s">
        <v>35</v>
      </c>
      <c r="AR4" s="39" t="s">
        <v>36</v>
      </c>
      <c r="AS4" s="40" t="s">
        <v>37</v>
      </c>
      <c r="AT4" s="35" t="s">
        <v>56</v>
      </c>
      <c r="AU4" s="33" t="s">
        <v>80</v>
      </c>
      <c r="AV4" s="33" t="s">
        <v>81</v>
      </c>
      <c r="AW4" s="33" t="s">
        <v>82</v>
      </c>
      <c r="AX4" s="33" t="s">
        <v>83</v>
      </c>
      <c r="AY4" s="33" t="s">
        <v>178</v>
      </c>
      <c r="AZ4" s="33" t="s">
        <v>177</v>
      </c>
      <c r="BA4" s="33" t="s">
        <v>176</v>
      </c>
      <c r="BB4" s="33" t="s">
        <v>204</v>
      </c>
      <c r="BC4" s="33" t="s">
        <v>205</v>
      </c>
      <c r="BD4" s="33" t="s">
        <v>206</v>
      </c>
      <c r="BE4" s="33" t="s">
        <v>207</v>
      </c>
      <c r="BF4" s="33" t="s">
        <v>92</v>
      </c>
      <c r="BG4" s="33" t="s">
        <v>84</v>
      </c>
      <c r="BH4" s="33" t="s">
        <v>1</v>
      </c>
      <c r="BI4" s="33" t="s">
        <v>74</v>
      </c>
      <c r="BJ4" s="33" t="s">
        <v>2</v>
      </c>
      <c r="BK4" s="41" t="s">
        <v>17</v>
      </c>
      <c r="BL4" s="33" t="s">
        <v>75</v>
      </c>
      <c r="BM4" s="33" t="s">
        <v>38</v>
      </c>
      <c r="BN4" s="42" t="s">
        <v>43</v>
      </c>
    </row>
    <row r="5" spans="1:67" ht="14.5" hidden="1" x14ac:dyDescent="0.35">
      <c r="A5" s="78" t="str">
        <f>'Sampling Data'!AI5</f>
        <v/>
      </c>
      <c r="B5" s="78" t="str">
        <f>'Sampling Data'!A5</f>
        <v>0101 CIN 1-A   (AV)</v>
      </c>
      <c r="C5" s="78">
        <f>'Sampling Data'!B5</f>
        <v>0</v>
      </c>
      <c r="D5" s="78">
        <f>'Sampling Data'!C5</f>
        <v>1</v>
      </c>
      <c r="E5" s="79">
        <f>'Sampling Data'!D5</f>
        <v>0</v>
      </c>
      <c r="F5" s="79">
        <f>'Sampling Data'!E5</f>
        <v>0</v>
      </c>
      <c r="G5" s="79">
        <f>'Sampling Data'!F5</f>
        <v>0</v>
      </c>
      <c r="H5" s="19">
        <f>'Sampling Data'!G5</f>
        <v>0</v>
      </c>
      <c r="I5" s="19">
        <f>'Sampling Data'!H5</f>
        <v>0</v>
      </c>
      <c r="J5" s="79">
        <f>'Sampling Data'!I5</f>
        <v>0</v>
      </c>
      <c r="K5" s="79">
        <f>'Sampling Data'!J5</f>
        <v>0</v>
      </c>
      <c r="L5" s="79">
        <f>'Sampling Data'!K5</f>
        <v>0</v>
      </c>
      <c r="M5" s="79">
        <f>'Sampling Data'!L5</f>
        <v>0</v>
      </c>
      <c r="N5" s="79">
        <f>'Sampling Data'!M5</f>
        <v>0</v>
      </c>
      <c r="O5" s="78">
        <f>'Sampling Data'!N5</f>
        <v>0</v>
      </c>
      <c r="P5" s="78">
        <f>'Sampling Data'!O5</f>
        <v>0</v>
      </c>
      <c r="Q5" s="78">
        <f>'Sampling Data'!P5</f>
        <v>1</v>
      </c>
      <c r="R5" s="78">
        <f>'Sampling Data'!AJ5</f>
        <v>0</v>
      </c>
      <c r="S5" s="80"/>
      <c r="T5" s="80"/>
      <c r="U5" s="81"/>
      <c r="V5" s="81"/>
      <c r="W5" s="80"/>
      <c r="X5" s="80"/>
      <c r="Y5" s="80"/>
      <c r="Z5" s="80"/>
      <c r="AA5" s="80"/>
      <c r="AB5" s="80"/>
      <c r="AC5" s="80"/>
      <c r="AD5" s="80"/>
      <c r="AE5" s="78" t="str">
        <f>IF(NOT(ISBLANK(Audit[[#This Row],[Audit Winning Candidate]])), Audit[[#This Row],[Audit Winning Candidate]]-Audit[[#This Row],[Winning Candidate]], "")</f>
        <v/>
      </c>
      <c r="AF5" s="78" t="str">
        <f>IF(NOT(ISBLANK(Audit[[#This Row],[Audit Losing Candidate]])), Audit[[#This Row],[Audit Losing Candidate]]-Audit[[#This Row],[Losing Candidate]], "")</f>
        <v/>
      </c>
      <c r="AG5" s="78" t="str">
        <f>IF(NOT(ISBLANK(Audit[[#This Row],[Audit Candidate 3]])), Audit[[#This Row],[Audit Candidate 3]]-Audit[[#This Row],[Candidate 3]], "")</f>
        <v/>
      </c>
      <c r="AH5" s="78" t="str">
        <f>IF(NOT(ISBLANK(Audit[[#This Row],[Audit Candidate 4]])),Audit[[#This Row],[Audit Candidate 4]]-Audit[[#This Row],[Candidate 4]], "")</f>
        <v/>
      </c>
      <c r="AI5" s="78" t="str">
        <f>IF(NOT(ISBLANK(Audit[[#This Row],[Audit Candidate 5]])), Audit[[#This Row],[Audit Candidate 5]]-Audit[[#This Row],[Candidate 5]], "")</f>
        <v/>
      </c>
      <c r="AJ5" s="18" t="str">
        <f>IF(NOT(ISBLANK(Audit[[#This Row],[Audit Candidate 6]])), Audit[[#This Row],[Audit Candidate 6]]-Audit[[#This Row],[Candidate 6]], "")</f>
        <v/>
      </c>
      <c r="AK5" s="18" t="str">
        <f>IF(NOT(ISBLANK(Audit[[#This Row],[Audit Candidate 7]])), Audit[[#This Row],[Audit Candidate 7]]-Audit[[#This Row],[Candidate 7]], "")</f>
        <v/>
      </c>
      <c r="AL5" s="78" t="str">
        <f>IF(NOT(ISBLANK(Audit[[#This Row],[Audit Candidate 8]])), Audit[[#This Row],[Audit Candidate 8]]-Audit[[#This Row],[Candidate 8]], "")</f>
        <v/>
      </c>
      <c r="AM5" s="78" t="str">
        <f>IF(NOT(ISBLANK(Audit[[#This Row],[Audit Candidate 9]])), Audit[[#This Row],[Audit Candidate 9]]-Audit[[#This Row],[Candidate 9]], "")</f>
        <v/>
      </c>
      <c r="AN5" s="78" t="str">
        <f>IF(NOT(ISBLANK(Audit[[#This Row],[Audit Candidate 10]])), Audit[[#This Row],[Audit Candidate 10]]-Audit[[#This Row],[Candidate 10]], "")</f>
        <v/>
      </c>
      <c r="AO5" s="78" t="str">
        <f>IF(NOT(ISBLANK(Audit[[#This Row],[Audit Candidate 11]])), Audit[[#This Row],[Audit Candidate 11]]-Audit[[#This Row],[Candidate 11]], "")</f>
        <v/>
      </c>
      <c r="AP5" s="78" t="str">
        <f>IF(NOT(ISBLANK(Audit[[#This Row],[Audit Candidate 12]])), Audit[[#This Row],[Audit Candidate 12]]-Audit[[#This Row],[Candidate 12]], "")</f>
        <v/>
      </c>
      <c r="AQ5" s="78">
        <f>SUMIF(Audit[[#This Row],[Difference Winner]:[Difference Candidate 12]], "&gt;0")</f>
        <v>0</v>
      </c>
      <c r="AR5" s="78">
        <f>SUM(Audit[[#This Row],[Difference Winner]:[Difference Candidate 12]])</f>
        <v>0</v>
      </c>
      <c r="AS5" s="78">
        <f>IF(Audit[[#This Row],[Times p Drawn - With Replacement]]&gt;0, IF(Audit[[#This Row],[Canceled Differences]]&lt;0, Audit[[#This Row],[Max Differences]]+ABS(Audit[[#This Row],[Canceled Differences]]), Audit[[#This Row],[Max Differences]]), 0)</f>
        <v>0</v>
      </c>
      <c r="AT5" s="78">
        <f>'Sampling Data'!AB5</f>
        <v>5.6446150372544591E-5</v>
      </c>
      <c r="AU5" s="78">
        <f>IF(
      SUM(Audit[[#This Row],[Audit Losing Candidate]:[Audit Candidate 12]])
      &lt;&gt;0,
      (Audit[[#This Row],[Winning Candidate]]-Audit[[#This Row],[Losing Candidate]]-(Audit[[#This Row],[Audit Winning Candidate]]-Audit[[#This Row],[Audit Losing Candidate]]))/(Audit[[#Totals],[Winning Candidate]]-Audit[[#Totals],[Losing Candidate]]),
      0
)</f>
        <v>0</v>
      </c>
      <c r="AV5"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78">
        <f>IF(Audit[[#This Row],[Max Relative Error (ep)]] = 0, 0, Audit[[#This Row],[Max Relative Error (ep)]]/Audit[[#This Row],[Error Bound (up) - Max. possible relative overstatement]])</f>
        <v>0</v>
      </c>
      <c r="BH5"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 s="78">
        <f t="shared" ref="BI5:BI14" si="0">IF(ISERR(POWER(BH5,R5)), 0, POWER(BH5,R5))</f>
        <v>1</v>
      </c>
      <c r="BJ5" s="78">
        <f>PRODUCT($BI$5:BI5)</f>
        <v>1</v>
      </c>
      <c r="BK5" s="76">
        <f>1 - Audit[[#This Row],[K-M P Value]]</f>
        <v>0</v>
      </c>
      <c r="BL5" s="78" t="str">
        <f>IF(Audit[[#This Row],[K-M P Value]]&gt;1-'General Info'!$B$12,"Continue", "Stop")</f>
        <v>Continue</v>
      </c>
      <c r="BM5" s="82" t="b">
        <f>IF(Audit[[#This Row],[Status - Continue or stop audit]] = "Continue", TRUE, IF(BL4 = "Continue", TRUE, FALSE))</f>
        <v>1</v>
      </c>
      <c r="BN5" s="82"/>
    </row>
    <row r="6" spans="1:67" ht="14.5" hidden="1" x14ac:dyDescent="0.35">
      <c r="A6" s="18" t="str">
        <f>'Sampling Data'!AI6</f>
        <v/>
      </c>
      <c r="B6" s="18" t="str">
        <f>'Sampling Data'!A6</f>
        <v>0102 CIN 1-B   (AV)</v>
      </c>
      <c r="C6" s="19">
        <f>'Sampling Data'!B6</f>
        <v>15</v>
      </c>
      <c r="D6" s="19">
        <f>'Sampling Data'!C6</f>
        <v>5</v>
      </c>
      <c r="E6" s="19">
        <f>'Sampling Data'!D6</f>
        <v>4</v>
      </c>
      <c r="F6" s="19">
        <f>'Sampling Data'!E6</f>
        <v>0</v>
      </c>
      <c r="G6" s="19">
        <f>'Sampling Data'!F6</f>
        <v>0</v>
      </c>
      <c r="H6" s="19">
        <f>'Sampling Data'!G6</f>
        <v>0</v>
      </c>
      <c r="I6" s="19">
        <f>'Sampling Data'!H6</f>
        <v>0</v>
      </c>
      <c r="J6" s="19">
        <f>'Sampling Data'!I6</f>
        <v>0</v>
      </c>
      <c r="K6" s="19">
        <f>'Sampling Data'!J6</f>
        <v>0</v>
      </c>
      <c r="L6" s="19">
        <f>'Sampling Data'!K6</f>
        <v>0</v>
      </c>
      <c r="M6" s="19">
        <f>'Sampling Data'!L6</f>
        <v>0</v>
      </c>
      <c r="N6" s="19">
        <f>'Sampling Data'!M6</f>
        <v>0</v>
      </c>
      <c r="O6" s="19">
        <f>'Sampling Data'!N6</f>
        <v>0</v>
      </c>
      <c r="P6" s="19">
        <f>'Sampling Data'!O6</f>
        <v>0</v>
      </c>
      <c r="Q6" s="19">
        <f>'Sampling Data'!P6</f>
        <v>24</v>
      </c>
      <c r="R6" s="18">
        <f>'Sampling Data'!AJ6</f>
        <v>0</v>
      </c>
      <c r="S6" s="15"/>
      <c r="T6" s="15"/>
      <c r="U6" s="15"/>
      <c r="V6" s="15"/>
      <c r="W6" s="15"/>
      <c r="X6" s="15"/>
      <c r="Y6" s="15"/>
      <c r="Z6" s="15"/>
      <c r="AA6" s="15"/>
      <c r="AB6" s="15"/>
      <c r="AC6" s="15"/>
      <c r="AD6" s="15"/>
      <c r="AE6" s="18" t="str">
        <f>IF(NOT(ISBLANK(Audit[[#This Row],[Audit Winning Candidate]])), Audit[[#This Row],[Audit Winning Candidate]]-Audit[[#This Row],[Winning Candidate]], "")</f>
        <v/>
      </c>
      <c r="AF6" s="18" t="str">
        <f>IF(NOT(ISBLANK(Audit[[#This Row],[Audit Losing Candidate]])), Audit[[#This Row],[Audit Losing Candidate]]-Audit[[#This Row],[Losing Candidate]], "")</f>
        <v/>
      </c>
      <c r="AG6" s="18" t="str">
        <f>IF(NOT(ISBLANK(Audit[[#This Row],[Audit Candidate 3]])), Audit[[#This Row],[Audit Candidate 3]]-Audit[[#This Row],[Candidate 3]], "")</f>
        <v/>
      </c>
      <c r="AH6" s="18" t="str">
        <f>IF(NOT(ISBLANK(Audit[[#This Row],[Audit Candidate 4]])),Audit[[#This Row],[Audit Candidate 4]]-Audit[[#This Row],[Candidate 4]], "")</f>
        <v/>
      </c>
      <c r="AI6" s="18" t="str">
        <f>IF(NOT(ISBLANK(Audit[[#This Row],[Audit Candidate 5]])), Audit[[#This Row],[Audit Candidate 5]]-Audit[[#This Row],[Candidate 5]], "")</f>
        <v/>
      </c>
      <c r="AJ6" s="18" t="str">
        <f>IF(NOT(ISBLANK(Audit[[#This Row],[Audit Candidate 6]])), Audit[[#This Row],[Audit Candidate 6]]-Audit[[#This Row],[Candidate 6]], "")</f>
        <v/>
      </c>
      <c r="AK6" s="18" t="str">
        <f>IF(NOT(ISBLANK(Audit[[#This Row],[Audit Candidate 7]])), Audit[[#This Row],[Audit Candidate 7]]-Audit[[#This Row],[Candidate 7]], "")</f>
        <v/>
      </c>
      <c r="AL6" s="18" t="str">
        <f>IF(NOT(ISBLANK(Audit[[#This Row],[Audit Candidate 8]])), Audit[[#This Row],[Audit Candidate 8]]-Audit[[#This Row],[Candidate 8]], "")</f>
        <v/>
      </c>
      <c r="AM6" s="18" t="str">
        <f>IF(NOT(ISBLANK(Audit[[#This Row],[Audit Candidate 9]])), Audit[[#This Row],[Audit Candidate 9]]-Audit[[#This Row],[Candidate 9]], "")</f>
        <v/>
      </c>
      <c r="AN6" s="18" t="str">
        <f>IF(NOT(ISBLANK(Audit[[#This Row],[Audit Candidate 10]])), Audit[[#This Row],[Audit Candidate 10]]-Audit[[#This Row],[Candidate 10]], "")</f>
        <v/>
      </c>
      <c r="AO6" s="18" t="str">
        <f>IF(NOT(ISBLANK(Audit[[#This Row],[Audit Candidate 11]])), Audit[[#This Row],[Audit Candidate 11]]-Audit[[#This Row],[Candidate 11]], "")</f>
        <v/>
      </c>
      <c r="AP6" s="18" t="str">
        <f>IF(NOT(ISBLANK(Audit[[#This Row],[Audit Candidate 12]])), Audit[[#This Row],[Audit Candidate 12]]-Audit[[#This Row],[Candidate 12]], "")</f>
        <v/>
      </c>
      <c r="AQ6" s="18">
        <f>SUMIF(Audit[[#This Row],[Difference Winner]:[Difference Candidate 12]], "&gt;0")</f>
        <v>0</v>
      </c>
      <c r="AR6" s="18">
        <f>SUM(Audit[[#This Row],[Difference Winner]:[Difference Candidate 12]])</f>
        <v>0</v>
      </c>
      <c r="AS6" s="18">
        <f>IF(Audit[[#This Row],[Times p Drawn - With Replacement]]&gt;0, IF(Audit[[#This Row],[Canceled Differences]]&lt;0, Audit[[#This Row],[Max Differences]]+ABS(Audit[[#This Row],[Canceled Differences]]), Audit[[#This Row],[Max Differences]]), 0)</f>
        <v>0</v>
      </c>
      <c r="AT6" s="18">
        <f>'Sampling Data'!AB6</f>
        <v>2.1490424119840717E-3</v>
      </c>
      <c r="AU6" s="18">
        <f>IF(
      SUM(Audit[[#This Row],[Audit Losing Candidate]:[Audit Candidate 12]])
      &lt;&gt;0,
      (Audit[[#This Row],[Winning Candidate]]-Audit[[#This Row],[Losing Candidate]]-(Audit[[#This Row],[Audit Winning Candidate]]-Audit[[#This Row],[Audit Losing Candidate]]))/(Audit[[#Totals],[Winning Candidate]]-Audit[[#Totals],[Losing Candidate]]),
      0
)</f>
        <v>0</v>
      </c>
      <c r="AV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18">
        <f>IF(Audit[[#This Row],[Max Relative Error (ep)]] = 0, 0, Audit[[#This Row],[Max Relative Error (ep)]]/Audit[[#This Row],[Error Bound (up) - Max. possible relative overstatement]])</f>
        <v>0</v>
      </c>
      <c r="BH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 s="18">
        <f t="shared" si="0"/>
        <v>1</v>
      </c>
      <c r="BJ6" s="18">
        <f>PRODUCT($BI$5:BI6)</f>
        <v>1</v>
      </c>
      <c r="BK6" s="20">
        <f>1 - Audit[[#This Row],[K-M P Value]]</f>
        <v>0</v>
      </c>
      <c r="BL6" s="18" t="str">
        <f>IF(Audit[[#This Row],[K-M P Value]]&gt;1-'General Info'!$B$12,"Continue", "Stop")</f>
        <v>Continue</v>
      </c>
      <c r="BM6" s="21" t="b">
        <f>IF(Audit[[#This Row],[Status - Continue or stop audit]] = "Continue", TRUE, IF(BL5 = "Continue", TRUE, FALSE))</f>
        <v>1</v>
      </c>
      <c r="BN6" s="21"/>
    </row>
    <row r="7" spans="1:67" ht="14.5" hidden="1" x14ac:dyDescent="0.35">
      <c r="A7" s="78" t="str">
        <f>'Sampling Data'!AI7</f>
        <v/>
      </c>
      <c r="B7" s="78" t="str">
        <f>'Sampling Data'!A7</f>
        <v>0103 CIN 1-C   (AV)</v>
      </c>
      <c r="C7" s="78">
        <f>'Sampling Data'!B7</f>
        <v>12</v>
      </c>
      <c r="D7" s="78">
        <f>'Sampling Data'!C7</f>
        <v>3</v>
      </c>
      <c r="E7" s="79">
        <f>'Sampling Data'!D7</f>
        <v>2</v>
      </c>
      <c r="F7" s="79">
        <f>'Sampling Data'!E7</f>
        <v>0</v>
      </c>
      <c r="G7" s="79">
        <f>'Sampling Data'!F7</f>
        <v>0</v>
      </c>
      <c r="H7" s="19">
        <f>'Sampling Data'!G7</f>
        <v>0</v>
      </c>
      <c r="I7" s="19">
        <f>'Sampling Data'!H7</f>
        <v>0</v>
      </c>
      <c r="J7" s="79">
        <f>'Sampling Data'!I7</f>
        <v>0</v>
      </c>
      <c r="K7" s="79">
        <f>'Sampling Data'!J7</f>
        <v>0</v>
      </c>
      <c r="L7" s="79">
        <f>'Sampling Data'!K7</f>
        <v>0</v>
      </c>
      <c r="M7" s="79">
        <f>'Sampling Data'!L7</f>
        <v>0</v>
      </c>
      <c r="N7" s="79">
        <f>'Sampling Data'!M7</f>
        <v>0</v>
      </c>
      <c r="O7" s="78">
        <f>'Sampling Data'!N7</f>
        <v>0</v>
      </c>
      <c r="P7" s="78">
        <f>'Sampling Data'!O7</f>
        <v>0</v>
      </c>
      <c r="Q7" s="78">
        <f>'Sampling Data'!P7</f>
        <v>17</v>
      </c>
      <c r="R7" s="78">
        <f>'Sampling Data'!AJ7</f>
        <v>0</v>
      </c>
      <c r="S7" s="80"/>
      <c r="T7" s="80"/>
      <c r="U7" s="81"/>
      <c r="V7" s="81"/>
      <c r="W7" s="80"/>
      <c r="X7" s="80"/>
      <c r="Y7" s="80"/>
      <c r="Z7" s="80"/>
      <c r="AA7" s="80"/>
      <c r="AB7" s="80"/>
      <c r="AC7" s="80"/>
      <c r="AD7" s="80"/>
      <c r="AE7" s="78" t="str">
        <f>IF(NOT(ISBLANK(Audit[[#This Row],[Audit Winning Candidate]])), Audit[[#This Row],[Audit Winning Candidate]]-Audit[[#This Row],[Winning Candidate]], "")</f>
        <v/>
      </c>
      <c r="AF7" s="78" t="str">
        <f>IF(NOT(ISBLANK(Audit[[#This Row],[Audit Losing Candidate]])), Audit[[#This Row],[Audit Losing Candidate]]-Audit[[#This Row],[Losing Candidate]], "")</f>
        <v/>
      </c>
      <c r="AG7" s="78" t="str">
        <f>IF(NOT(ISBLANK(Audit[[#This Row],[Audit Candidate 3]])), Audit[[#This Row],[Audit Candidate 3]]-Audit[[#This Row],[Candidate 3]], "")</f>
        <v/>
      </c>
      <c r="AH7" s="78" t="str">
        <f>IF(NOT(ISBLANK(Audit[[#This Row],[Audit Candidate 4]])),Audit[[#This Row],[Audit Candidate 4]]-Audit[[#This Row],[Candidate 4]], "")</f>
        <v/>
      </c>
      <c r="AI7" s="78" t="str">
        <f>IF(NOT(ISBLANK(Audit[[#This Row],[Audit Candidate 5]])), Audit[[#This Row],[Audit Candidate 5]]-Audit[[#This Row],[Candidate 5]], "")</f>
        <v/>
      </c>
      <c r="AJ7" s="18" t="str">
        <f>IF(NOT(ISBLANK(Audit[[#This Row],[Audit Candidate 6]])), Audit[[#This Row],[Audit Candidate 6]]-Audit[[#This Row],[Candidate 6]], "")</f>
        <v/>
      </c>
      <c r="AK7" s="18" t="str">
        <f>IF(NOT(ISBLANK(Audit[[#This Row],[Audit Candidate 7]])), Audit[[#This Row],[Audit Candidate 7]]-Audit[[#This Row],[Candidate 7]], "")</f>
        <v/>
      </c>
      <c r="AL7" s="78" t="str">
        <f>IF(NOT(ISBLANK(Audit[[#This Row],[Audit Candidate 8]])), Audit[[#This Row],[Audit Candidate 8]]-Audit[[#This Row],[Candidate 8]], "")</f>
        <v/>
      </c>
      <c r="AM7" s="78" t="str">
        <f>IF(NOT(ISBLANK(Audit[[#This Row],[Audit Candidate 9]])), Audit[[#This Row],[Audit Candidate 9]]-Audit[[#This Row],[Candidate 9]], "")</f>
        <v/>
      </c>
      <c r="AN7" s="78" t="str">
        <f>IF(NOT(ISBLANK(Audit[[#This Row],[Audit Candidate 10]])), Audit[[#This Row],[Audit Candidate 10]]-Audit[[#This Row],[Candidate 10]], "")</f>
        <v/>
      </c>
      <c r="AO7" s="78" t="str">
        <f>IF(NOT(ISBLANK(Audit[[#This Row],[Audit Candidate 11]])), Audit[[#This Row],[Audit Candidate 11]]-Audit[[#This Row],[Candidate 11]], "")</f>
        <v/>
      </c>
      <c r="AP7" s="78" t="str">
        <f>IF(NOT(ISBLANK(Audit[[#This Row],[Audit Candidate 12]])), Audit[[#This Row],[Audit Candidate 12]]-Audit[[#This Row],[Candidate 12]], "")</f>
        <v/>
      </c>
      <c r="AQ7" s="78">
        <f>SUMIF(Audit[[#This Row],[Difference Winner]:[Difference Candidate 12]], "&gt;0")</f>
        <v>0</v>
      </c>
      <c r="AR7" s="78">
        <f>SUM(Audit[[#This Row],[Difference Winner]:[Difference Candidate 12]])</f>
        <v>0</v>
      </c>
      <c r="AS7" s="78">
        <f>IF(Audit[[#This Row],[Times p Drawn - With Replacement]]&gt;0, IF(Audit[[#This Row],[Canceled Differences]]&lt;0, Audit[[#This Row],[Max Differences]]+ABS(Audit[[#This Row],[Canceled Differences]]), Audit[[#This Row],[Max Differences]]), 0)</f>
        <v>0</v>
      </c>
      <c r="AT7" s="78">
        <f>'Sampling Data'!AB7</f>
        <v>1.6433853738701725E-3</v>
      </c>
      <c r="AU7" s="78">
        <f>IF(
      SUM(Audit[[#This Row],[Audit Losing Candidate]:[Audit Candidate 12]])
      &lt;&gt;0,
      (Audit[[#This Row],[Winning Candidate]]-Audit[[#This Row],[Losing Candidate]]-(Audit[[#This Row],[Audit Winning Candidate]]-Audit[[#This Row],[Audit Losing Candidate]]))/(Audit[[#Totals],[Winning Candidate]]-Audit[[#Totals],[Losing Candidate]]),
      0
)</f>
        <v>0</v>
      </c>
      <c r="AV7"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78">
        <f>IF(Audit[[#This Row],[Max Relative Error (ep)]] = 0, 0, Audit[[#This Row],[Max Relative Error (ep)]]/Audit[[#This Row],[Error Bound (up) - Max. possible relative overstatement]])</f>
        <v>0</v>
      </c>
      <c r="BH7"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 s="78">
        <f t="shared" si="0"/>
        <v>1</v>
      </c>
      <c r="BJ7" s="78">
        <f>PRODUCT($BI$5:BI7)</f>
        <v>1</v>
      </c>
      <c r="BK7" s="76">
        <f>1 - Audit[[#This Row],[K-M P Value]]</f>
        <v>0</v>
      </c>
      <c r="BL7" s="78" t="str">
        <f>IF(Audit[[#This Row],[K-M P Value]]&gt;1-'General Info'!$B$12,"Continue", "Stop")</f>
        <v>Continue</v>
      </c>
      <c r="BM7" s="82" t="b">
        <f>IF(Audit[[#This Row],[Status - Continue or stop audit]] = "Continue", TRUE, IF(BL6 = "Continue", TRUE, FALSE))</f>
        <v>1</v>
      </c>
      <c r="BN7" s="82"/>
    </row>
    <row r="8" spans="1:67" ht="14.5" hidden="1" x14ac:dyDescent="0.35">
      <c r="A8" s="18" t="str">
        <f>'Sampling Data'!AI8</f>
        <v/>
      </c>
      <c r="B8" s="18" t="str">
        <f>'Sampling Data'!A8</f>
        <v>0104 CIN 1-D   (AV)</v>
      </c>
      <c r="C8" s="19">
        <f>'Sampling Data'!B8</f>
        <v>14</v>
      </c>
      <c r="D8" s="19">
        <f>'Sampling Data'!C8</f>
        <v>2</v>
      </c>
      <c r="E8" s="19">
        <f>'Sampling Data'!D8</f>
        <v>0</v>
      </c>
      <c r="F8" s="19">
        <f>'Sampling Data'!E8</f>
        <v>0</v>
      </c>
      <c r="G8" s="19">
        <f>'Sampling Data'!F8</f>
        <v>0</v>
      </c>
      <c r="H8" s="19">
        <f>'Sampling Data'!G8</f>
        <v>0</v>
      </c>
      <c r="I8" s="19">
        <f>'Sampling Data'!H8</f>
        <v>0</v>
      </c>
      <c r="J8" s="19">
        <f>'Sampling Data'!I8</f>
        <v>0</v>
      </c>
      <c r="K8" s="19">
        <f>'Sampling Data'!J8</f>
        <v>0</v>
      </c>
      <c r="L8" s="19">
        <f>'Sampling Data'!K8</f>
        <v>0</v>
      </c>
      <c r="M8" s="19">
        <f>'Sampling Data'!L8</f>
        <v>0</v>
      </c>
      <c r="N8" s="19">
        <f>'Sampling Data'!M8</f>
        <v>0</v>
      </c>
      <c r="O8" s="19">
        <f>'Sampling Data'!N8</f>
        <v>0</v>
      </c>
      <c r="P8" s="19">
        <f>'Sampling Data'!O8</f>
        <v>0</v>
      </c>
      <c r="Q8" s="19">
        <f>'Sampling Data'!P8</f>
        <v>16</v>
      </c>
      <c r="R8" s="18">
        <f>'Sampling Data'!AJ8</f>
        <v>0</v>
      </c>
      <c r="S8" s="15"/>
      <c r="T8" s="15"/>
      <c r="U8" s="15"/>
      <c r="V8" s="15"/>
      <c r="W8" s="15"/>
      <c r="X8" s="15"/>
      <c r="Y8" s="15"/>
      <c r="Z8" s="15"/>
      <c r="AA8" s="15"/>
      <c r="AB8" s="15"/>
      <c r="AC8" s="15"/>
      <c r="AD8" s="15"/>
      <c r="AE8" s="18" t="str">
        <f>IF(NOT(ISBLANK(Audit[[#This Row],[Audit Winning Candidate]])), Audit[[#This Row],[Audit Winning Candidate]]-Audit[[#This Row],[Winning Candidate]], "")</f>
        <v/>
      </c>
      <c r="AF8" s="18" t="str">
        <f>IF(NOT(ISBLANK(Audit[[#This Row],[Audit Losing Candidate]])), Audit[[#This Row],[Audit Losing Candidate]]-Audit[[#This Row],[Losing Candidate]], "")</f>
        <v/>
      </c>
      <c r="AG8" s="18" t="str">
        <f>IF(NOT(ISBLANK(Audit[[#This Row],[Audit Candidate 3]])), Audit[[#This Row],[Audit Candidate 3]]-Audit[[#This Row],[Candidate 3]], "")</f>
        <v/>
      </c>
      <c r="AH8" s="18" t="str">
        <f>IF(NOT(ISBLANK(Audit[[#This Row],[Audit Candidate 4]])),Audit[[#This Row],[Audit Candidate 4]]-Audit[[#This Row],[Candidate 4]], "")</f>
        <v/>
      </c>
      <c r="AI8" s="18" t="str">
        <f>IF(NOT(ISBLANK(Audit[[#This Row],[Audit Candidate 5]])), Audit[[#This Row],[Audit Candidate 5]]-Audit[[#This Row],[Candidate 5]], "")</f>
        <v/>
      </c>
      <c r="AJ8" s="18" t="str">
        <f>IF(NOT(ISBLANK(Audit[[#This Row],[Audit Candidate 6]])), Audit[[#This Row],[Audit Candidate 6]]-Audit[[#This Row],[Candidate 6]], "")</f>
        <v/>
      </c>
      <c r="AK8" s="18" t="str">
        <f>IF(NOT(ISBLANK(Audit[[#This Row],[Audit Candidate 7]])), Audit[[#This Row],[Audit Candidate 7]]-Audit[[#This Row],[Candidate 7]], "")</f>
        <v/>
      </c>
      <c r="AL8" s="18" t="str">
        <f>IF(NOT(ISBLANK(Audit[[#This Row],[Audit Candidate 8]])), Audit[[#This Row],[Audit Candidate 8]]-Audit[[#This Row],[Candidate 8]], "")</f>
        <v/>
      </c>
      <c r="AM8" s="18" t="str">
        <f>IF(NOT(ISBLANK(Audit[[#This Row],[Audit Candidate 9]])), Audit[[#This Row],[Audit Candidate 9]]-Audit[[#This Row],[Candidate 9]], "")</f>
        <v/>
      </c>
      <c r="AN8" s="18" t="str">
        <f>IF(NOT(ISBLANK(Audit[[#This Row],[Audit Candidate 10]])), Audit[[#This Row],[Audit Candidate 10]]-Audit[[#This Row],[Candidate 10]], "")</f>
        <v/>
      </c>
      <c r="AO8" s="18" t="str">
        <f>IF(NOT(ISBLANK(Audit[[#This Row],[Audit Candidate 11]])), Audit[[#This Row],[Audit Candidate 11]]-Audit[[#This Row],[Candidate 11]], "")</f>
        <v/>
      </c>
      <c r="AP8" s="18" t="str">
        <f>IF(NOT(ISBLANK(Audit[[#This Row],[Audit Candidate 12]])), Audit[[#This Row],[Audit Candidate 12]]-Audit[[#This Row],[Candidate 12]], "")</f>
        <v/>
      </c>
      <c r="AQ8" s="18">
        <f>SUMIF(Audit[[#This Row],[Difference Winner]:[Difference Candidate 12]], "&gt;0")</f>
        <v>0</v>
      </c>
      <c r="AR8" s="18">
        <f>SUM(Audit[[#This Row],[Difference Winner]:[Difference Candidate 12]])</f>
        <v>0</v>
      </c>
      <c r="AS8" s="18">
        <f>IF(Audit[[#This Row],[Times p Drawn - With Replacement]]&gt;0, IF(Audit[[#This Row],[Canceled Differences]]&lt;0, Audit[[#This Row],[Max Differences]]+ABS(Audit[[#This Row],[Canceled Differences]]), Audit[[#This Row],[Max Differences]]), 0)</f>
        <v>0</v>
      </c>
      <c r="AT8" s="18">
        <f>'Sampling Data'!AB8</f>
        <v>1.7697996333986474E-3</v>
      </c>
      <c r="AU8" s="18">
        <f>IF(
      SUM(Audit[[#This Row],[Audit Losing Candidate]:[Audit Candidate 12]])
      &lt;&gt;0,
      (Audit[[#This Row],[Winning Candidate]]-Audit[[#This Row],[Losing Candidate]]-(Audit[[#This Row],[Audit Winning Candidate]]-Audit[[#This Row],[Audit Losing Candidate]]))/(Audit[[#Totals],[Winning Candidate]]-Audit[[#Totals],[Losing Candidate]]),
      0
)</f>
        <v>0</v>
      </c>
      <c r="AV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18">
        <f>IF(Audit[[#This Row],[Max Relative Error (ep)]] = 0, 0, Audit[[#This Row],[Max Relative Error (ep)]]/Audit[[#This Row],[Error Bound (up) - Max. possible relative overstatement]])</f>
        <v>0</v>
      </c>
      <c r="BH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 s="18">
        <f t="shared" si="0"/>
        <v>1</v>
      </c>
      <c r="BJ8" s="18">
        <f>PRODUCT($BI$5:BI8)</f>
        <v>1</v>
      </c>
      <c r="BK8" s="22">
        <f>1 - Audit[[#This Row],[K-M P Value]]</f>
        <v>0</v>
      </c>
      <c r="BL8" s="18" t="str">
        <f>IF(Audit[[#This Row],[K-M P Value]]&gt;1-'General Info'!$B$12,"Continue", "Stop")</f>
        <v>Continue</v>
      </c>
      <c r="BM8" s="21" t="b">
        <f>IF(Audit[[#This Row],[Status - Continue or stop audit]] = "Continue", TRUE, IF(BL7 = "Continue", TRUE, FALSE))</f>
        <v>1</v>
      </c>
      <c r="BN8" s="21"/>
    </row>
    <row r="9" spans="1:67" ht="14.5" hidden="1" x14ac:dyDescent="0.35">
      <c r="A9" s="78" t="str">
        <f>'Sampling Data'!AI9</f>
        <v/>
      </c>
      <c r="B9" s="78" t="str">
        <f>'Sampling Data'!A9</f>
        <v>0105 CIN 1-E   (AV)</v>
      </c>
      <c r="C9" s="78">
        <f>'Sampling Data'!B9</f>
        <v>15</v>
      </c>
      <c r="D9" s="78">
        <f>'Sampling Data'!C9</f>
        <v>3</v>
      </c>
      <c r="E9" s="79">
        <f>'Sampling Data'!D9</f>
        <v>0</v>
      </c>
      <c r="F9" s="79">
        <f>'Sampling Data'!E9</f>
        <v>0</v>
      </c>
      <c r="G9" s="79">
        <f>'Sampling Data'!F9</f>
        <v>0</v>
      </c>
      <c r="H9" s="19">
        <f>'Sampling Data'!G9</f>
        <v>0</v>
      </c>
      <c r="I9" s="19">
        <f>'Sampling Data'!H9</f>
        <v>0</v>
      </c>
      <c r="J9" s="79">
        <f>'Sampling Data'!I9</f>
        <v>0</v>
      </c>
      <c r="K9" s="79">
        <f>'Sampling Data'!J9</f>
        <v>0</v>
      </c>
      <c r="L9" s="79">
        <f>'Sampling Data'!K9</f>
        <v>0</v>
      </c>
      <c r="M9" s="79">
        <f>'Sampling Data'!L9</f>
        <v>0</v>
      </c>
      <c r="N9" s="79">
        <f>'Sampling Data'!M9</f>
        <v>0</v>
      </c>
      <c r="O9" s="78">
        <f>'Sampling Data'!N9</f>
        <v>0</v>
      </c>
      <c r="P9" s="78">
        <f>'Sampling Data'!O9</f>
        <v>0</v>
      </c>
      <c r="Q9" s="78">
        <f>'Sampling Data'!P9</f>
        <v>18</v>
      </c>
      <c r="R9" s="78">
        <f>'Sampling Data'!AJ9</f>
        <v>0</v>
      </c>
      <c r="S9" s="80"/>
      <c r="T9" s="80"/>
      <c r="U9" s="81"/>
      <c r="V9" s="81"/>
      <c r="W9" s="80"/>
      <c r="X9" s="80"/>
      <c r="Y9" s="80"/>
      <c r="Z9" s="80"/>
      <c r="AA9" s="80"/>
      <c r="AB9" s="80"/>
      <c r="AC9" s="80"/>
      <c r="AD9" s="80"/>
      <c r="AE9" s="78" t="str">
        <f>IF(NOT(ISBLANK(Audit[[#This Row],[Audit Winning Candidate]])), Audit[[#This Row],[Audit Winning Candidate]]-Audit[[#This Row],[Winning Candidate]], "")</f>
        <v/>
      </c>
      <c r="AF9" s="78" t="str">
        <f>IF(NOT(ISBLANK(Audit[[#This Row],[Audit Losing Candidate]])), Audit[[#This Row],[Audit Losing Candidate]]-Audit[[#This Row],[Losing Candidate]], "")</f>
        <v/>
      </c>
      <c r="AG9" s="78" t="str">
        <f>IF(NOT(ISBLANK(Audit[[#This Row],[Audit Candidate 3]])), Audit[[#This Row],[Audit Candidate 3]]-Audit[[#This Row],[Candidate 3]], "")</f>
        <v/>
      </c>
      <c r="AH9" s="78" t="str">
        <f>IF(NOT(ISBLANK(Audit[[#This Row],[Audit Candidate 4]])),Audit[[#This Row],[Audit Candidate 4]]-Audit[[#This Row],[Candidate 4]], "")</f>
        <v/>
      </c>
      <c r="AI9" s="78" t="str">
        <f>IF(NOT(ISBLANK(Audit[[#This Row],[Audit Candidate 5]])), Audit[[#This Row],[Audit Candidate 5]]-Audit[[#This Row],[Candidate 5]], "")</f>
        <v/>
      </c>
      <c r="AJ9" s="18" t="str">
        <f>IF(NOT(ISBLANK(Audit[[#This Row],[Audit Candidate 6]])), Audit[[#This Row],[Audit Candidate 6]]-Audit[[#This Row],[Candidate 6]], "")</f>
        <v/>
      </c>
      <c r="AK9" s="18" t="str">
        <f>IF(NOT(ISBLANK(Audit[[#This Row],[Audit Candidate 7]])), Audit[[#This Row],[Audit Candidate 7]]-Audit[[#This Row],[Candidate 7]], "")</f>
        <v/>
      </c>
      <c r="AL9" s="78" t="str">
        <f>IF(NOT(ISBLANK(Audit[[#This Row],[Audit Candidate 8]])), Audit[[#This Row],[Audit Candidate 8]]-Audit[[#This Row],[Candidate 8]], "")</f>
        <v/>
      </c>
      <c r="AM9" s="78" t="str">
        <f>IF(NOT(ISBLANK(Audit[[#This Row],[Audit Candidate 9]])), Audit[[#This Row],[Audit Candidate 9]]-Audit[[#This Row],[Candidate 9]], "")</f>
        <v/>
      </c>
      <c r="AN9" s="78" t="str">
        <f>IF(NOT(ISBLANK(Audit[[#This Row],[Audit Candidate 10]])), Audit[[#This Row],[Audit Candidate 10]]-Audit[[#This Row],[Candidate 10]], "")</f>
        <v/>
      </c>
      <c r="AO9" s="78" t="str">
        <f>IF(NOT(ISBLANK(Audit[[#This Row],[Audit Candidate 11]])), Audit[[#This Row],[Audit Candidate 11]]-Audit[[#This Row],[Candidate 11]], "")</f>
        <v/>
      </c>
      <c r="AP9" s="78" t="str">
        <f>IF(NOT(ISBLANK(Audit[[#This Row],[Audit Candidate 12]])), Audit[[#This Row],[Audit Candidate 12]]-Audit[[#This Row],[Candidate 12]], "")</f>
        <v/>
      </c>
      <c r="AQ9" s="78">
        <f>SUMIF(Audit[[#This Row],[Difference Winner]:[Difference Candidate 12]], "&gt;0")</f>
        <v>0</v>
      </c>
      <c r="AR9" s="78">
        <f>SUM(Audit[[#This Row],[Difference Winner]:[Difference Candidate 12]])</f>
        <v>0</v>
      </c>
      <c r="AS9" s="78">
        <f>IF(Audit[[#This Row],[Times p Drawn - With Replacement]]&gt;0, IF(Audit[[#This Row],[Canceled Differences]]&lt;0, Audit[[#This Row],[Max Differences]]+ABS(Audit[[#This Row],[Canceled Differences]]), Audit[[#This Row],[Max Differences]]), 0)</f>
        <v>0</v>
      </c>
      <c r="AT9" s="78">
        <f>'Sampling Data'!AB9</f>
        <v>1.8962138929271221E-3</v>
      </c>
      <c r="AU9" s="78">
        <f>IF(
      SUM(Audit[[#This Row],[Audit Losing Candidate]:[Audit Candidate 12]])
      &lt;&gt;0,
      (Audit[[#This Row],[Winning Candidate]]-Audit[[#This Row],[Losing Candidate]]-(Audit[[#This Row],[Audit Winning Candidate]]-Audit[[#This Row],[Audit Losing Candidate]]))/(Audit[[#Totals],[Winning Candidate]]-Audit[[#Totals],[Losing Candidate]]),
      0
)</f>
        <v>0</v>
      </c>
      <c r="AV9"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78">
        <f>IF(Audit[[#This Row],[Max Relative Error (ep)]] = 0, 0, Audit[[#This Row],[Max Relative Error (ep)]]/Audit[[#This Row],[Error Bound (up) - Max. possible relative overstatement]])</f>
        <v>0</v>
      </c>
      <c r="BH9"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 s="78">
        <f t="shared" si="0"/>
        <v>1</v>
      </c>
      <c r="BJ9" s="78">
        <f>PRODUCT($BI$5:BI9)</f>
        <v>1</v>
      </c>
      <c r="BK9" s="76">
        <f>1 - Audit[[#This Row],[K-M P Value]]</f>
        <v>0</v>
      </c>
      <c r="BL9" s="78" t="str">
        <f>IF(Audit[[#This Row],[K-M P Value]]&gt;1-'General Info'!$B$12,"Continue", "Stop")</f>
        <v>Continue</v>
      </c>
      <c r="BM9" s="77" t="b">
        <f>IF(Audit[[#This Row],[Status - Continue or stop audit]] = "Continue", TRUE, IF(BL8 = "Continue", TRUE, FALSE))</f>
        <v>1</v>
      </c>
      <c r="BN9" s="77"/>
    </row>
    <row r="10" spans="1:67" ht="14.5" hidden="1" x14ac:dyDescent="0.35">
      <c r="A10" s="18" t="str">
        <f>'Sampling Data'!AI10</f>
        <v/>
      </c>
      <c r="B10" s="18" t="str">
        <f>'Sampling Data'!A10</f>
        <v>0106 CIN 1-F   (AV)</v>
      </c>
      <c r="C10" s="19">
        <f>'Sampling Data'!B10</f>
        <v>13</v>
      </c>
      <c r="D10" s="19">
        <f>'Sampling Data'!C10</f>
        <v>2</v>
      </c>
      <c r="E10" s="19">
        <f>'Sampling Data'!D10</f>
        <v>2</v>
      </c>
      <c r="F10" s="19">
        <f>'Sampling Data'!E10</f>
        <v>0</v>
      </c>
      <c r="G10" s="19">
        <f>'Sampling Data'!F10</f>
        <v>0</v>
      </c>
      <c r="H10" s="19">
        <f>'Sampling Data'!G10</f>
        <v>0</v>
      </c>
      <c r="I10" s="19">
        <f>'Sampling Data'!H10</f>
        <v>0</v>
      </c>
      <c r="J10" s="19">
        <f>'Sampling Data'!I10</f>
        <v>0</v>
      </c>
      <c r="K10" s="19">
        <f>'Sampling Data'!J10</f>
        <v>0</v>
      </c>
      <c r="L10" s="19">
        <f>'Sampling Data'!K10</f>
        <v>0</v>
      </c>
      <c r="M10" s="19">
        <f>'Sampling Data'!L10</f>
        <v>0</v>
      </c>
      <c r="N10" s="19">
        <f>'Sampling Data'!M10</f>
        <v>0</v>
      </c>
      <c r="O10" s="19">
        <f>'Sampling Data'!N10</f>
        <v>0</v>
      </c>
      <c r="P10" s="19">
        <f>'Sampling Data'!O10</f>
        <v>0</v>
      </c>
      <c r="Q10" s="19">
        <f>'Sampling Data'!P10</f>
        <v>17</v>
      </c>
      <c r="R10" s="18">
        <f>'Sampling Data'!AJ10</f>
        <v>0</v>
      </c>
      <c r="S10" s="15"/>
      <c r="T10" s="15"/>
      <c r="U10" s="15"/>
      <c r="V10" s="15"/>
      <c r="W10" s="15"/>
      <c r="X10" s="15"/>
      <c r="Y10" s="15"/>
      <c r="Z10" s="15"/>
      <c r="AA10" s="15"/>
      <c r="AB10" s="15"/>
      <c r="AC10" s="15"/>
      <c r="AD10" s="15"/>
      <c r="AE10" s="18" t="str">
        <f>IF(NOT(ISBLANK(Audit[[#This Row],[Audit Winning Candidate]])), Audit[[#This Row],[Audit Winning Candidate]]-Audit[[#This Row],[Winning Candidate]], "")</f>
        <v/>
      </c>
      <c r="AF10" s="18" t="str">
        <f>IF(NOT(ISBLANK(Audit[[#This Row],[Audit Losing Candidate]])), Audit[[#This Row],[Audit Losing Candidate]]-Audit[[#This Row],[Losing Candidate]], "")</f>
        <v/>
      </c>
      <c r="AG10" s="18" t="str">
        <f>IF(NOT(ISBLANK(Audit[[#This Row],[Audit Candidate 3]])), Audit[[#This Row],[Audit Candidate 3]]-Audit[[#This Row],[Candidate 3]], "")</f>
        <v/>
      </c>
      <c r="AH10" s="18" t="str">
        <f>IF(NOT(ISBLANK(Audit[[#This Row],[Audit Candidate 4]])),Audit[[#This Row],[Audit Candidate 4]]-Audit[[#This Row],[Candidate 4]], "")</f>
        <v/>
      </c>
      <c r="AI10" s="18" t="str">
        <f>IF(NOT(ISBLANK(Audit[[#This Row],[Audit Candidate 5]])), Audit[[#This Row],[Audit Candidate 5]]-Audit[[#This Row],[Candidate 5]], "")</f>
        <v/>
      </c>
      <c r="AJ10" s="18" t="str">
        <f>IF(NOT(ISBLANK(Audit[[#This Row],[Audit Candidate 6]])), Audit[[#This Row],[Audit Candidate 6]]-Audit[[#This Row],[Candidate 6]], "")</f>
        <v/>
      </c>
      <c r="AK10" s="18" t="str">
        <f>IF(NOT(ISBLANK(Audit[[#This Row],[Audit Candidate 7]])), Audit[[#This Row],[Audit Candidate 7]]-Audit[[#This Row],[Candidate 7]], "")</f>
        <v/>
      </c>
      <c r="AL10" s="18" t="str">
        <f>IF(NOT(ISBLANK(Audit[[#This Row],[Audit Candidate 8]])), Audit[[#This Row],[Audit Candidate 8]]-Audit[[#This Row],[Candidate 8]], "")</f>
        <v/>
      </c>
      <c r="AM10" s="18" t="str">
        <f>IF(NOT(ISBLANK(Audit[[#This Row],[Audit Candidate 9]])), Audit[[#This Row],[Audit Candidate 9]]-Audit[[#This Row],[Candidate 9]], "")</f>
        <v/>
      </c>
      <c r="AN10" s="18" t="str">
        <f>IF(NOT(ISBLANK(Audit[[#This Row],[Audit Candidate 10]])), Audit[[#This Row],[Audit Candidate 10]]-Audit[[#This Row],[Candidate 10]], "")</f>
        <v/>
      </c>
      <c r="AO10" s="18" t="str">
        <f>IF(NOT(ISBLANK(Audit[[#This Row],[Audit Candidate 11]])), Audit[[#This Row],[Audit Candidate 11]]-Audit[[#This Row],[Candidate 11]], "")</f>
        <v/>
      </c>
      <c r="AP10" s="18" t="str">
        <f>IF(NOT(ISBLANK(Audit[[#This Row],[Audit Candidate 12]])), Audit[[#This Row],[Audit Candidate 12]]-Audit[[#This Row],[Candidate 12]], "")</f>
        <v/>
      </c>
      <c r="AQ10" s="18">
        <f>SUMIF(Audit[[#This Row],[Difference Winner]:[Difference Candidate 12]], "&gt;0")</f>
        <v>0</v>
      </c>
      <c r="AR10" s="18">
        <f>SUM(Audit[[#This Row],[Difference Winner]:[Difference Candidate 12]])</f>
        <v>0</v>
      </c>
      <c r="AS10" s="18">
        <f>IF(Audit[[#This Row],[Times p Drawn - With Replacement]]&gt;0, IF(Audit[[#This Row],[Canceled Differences]]&lt;0, Audit[[#This Row],[Max Differences]]+ABS(Audit[[#This Row],[Canceled Differences]]), Audit[[#This Row],[Max Differences]]), 0)</f>
        <v>0</v>
      </c>
      <c r="AT10" s="18">
        <f>'Sampling Data'!AB10</f>
        <v>1.7697996333986474E-3</v>
      </c>
      <c r="AU10" s="18">
        <f>IF(
      SUM(Audit[[#This Row],[Audit Losing Candidate]:[Audit Candidate 12]])
      &lt;&gt;0,
      (Audit[[#This Row],[Winning Candidate]]-Audit[[#This Row],[Losing Candidate]]-(Audit[[#This Row],[Audit Winning Candidate]]-Audit[[#This Row],[Audit Losing Candidate]]))/(Audit[[#Totals],[Winning Candidate]]-Audit[[#Totals],[Losing Candidate]]),
      0
)</f>
        <v>0</v>
      </c>
      <c r="AV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18">
        <f>IF(Audit[[#This Row],[Max Relative Error (ep)]] = 0, 0, Audit[[#This Row],[Max Relative Error (ep)]]/Audit[[#This Row],[Error Bound (up) - Max. possible relative overstatement]])</f>
        <v>0</v>
      </c>
      <c r="BH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 s="18">
        <f t="shared" si="0"/>
        <v>1</v>
      </c>
      <c r="BJ10" s="18">
        <f>PRODUCT($BI$5:BI10)</f>
        <v>1</v>
      </c>
      <c r="BK10" s="20">
        <f>1 - Audit[[#This Row],[K-M P Value]]</f>
        <v>0</v>
      </c>
      <c r="BL10" s="18" t="str">
        <f>IF(Audit[[#This Row],[K-M P Value]]&gt;1-'General Info'!$B$12,"Continue", "Stop")</f>
        <v>Continue</v>
      </c>
      <c r="BM10" s="23" t="b">
        <f>IF(Audit[[#This Row],[Status - Continue or stop audit]] = "Continue", TRUE, IF(BL9 = "Continue", TRUE, FALSE))</f>
        <v>1</v>
      </c>
      <c r="BN10" s="23"/>
    </row>
    <row r="11" spans="1:67" ht="14.5" hidden="1" x14ac:dyDescent="0.35">
      <c r="A11" s="78" t="str">
        <f>'Sampling Data'!AI11</f>
        <v/>
      </c>
      <c r="B11" s="78" t="str">
        <f>'Sampling Data'!A11</f>
        <v>0107 CIN 1-G   (AV)</v>
      </c>
      <c r="C11" s="78">
        <f>'Sampling Data'!B11</f>
        <v>9</v>
      </c>
      <c r="D11" s="78">
        <f>'Sampling Data'!C11</f>
        <v>5</v>
      </c>
      <c r="E11" s="79">
        <f>'Sampling Data'!D11</f>
        <v>0</v>
      </c>
      <c r="F11" s="79">
        <f>'Sampling Data'!E11</f>
        <v>0</v>
      </c>
      <c r="G11" s="79">
        <f>'Sampling Data'!F11</f>
        <v>0</v>
      </c>
      <c r="H11" s="19">
        <f>'Sampling Data'!G11</f>
        <v>0</v>
      </c>
      <c r="I11" s="19">
        <f>'Sampling Data'!H11</f>
        <v>0</v>
      </c>
      <c r="J11" s="79">
        <f>'Sampling Data'!I11</f>
        <v>0</v>
      </c>
      <c r="K11" s="79">
        <f>'Sampling Data'!J11</f>
        <v>0</v>
      </c>
      <c r="L11" s="79">
        <f>'Sampling Data'!K11</f>
        <v>0</v>
      </c>
      <c r="M11" s="79">
        <f>'Sampling Data'!L11</f>
        <v>0</v>
      </c>
      <c r="N11" s="79">
        <f>'Sampling Data'!M11</f>
        <v>0</v>
      </c>
      <c r="O11" s="78">
        <f>'Sampling Data'!N11</f>
        <v>0</v>
      </c>
      <c r="P11" s="78">
        <f>'Sampling Data'!O11</f>
        <v>0</v>
      </c>
      <c r="Q11" s="78">
        <f>'Sampling Data'!P11</f>
        <v>14</v>
      </c>
      <c r="R11" s="78">
        <f>'Sampling Data'!AJ11</f>
        <v>0</v>
      </c>
      <c r="S11" s="80"/>
      <c r="T11" s="80"/>
      <c r="U11" s="81"/>
      <c r="V11" s="81"/>
      <c r="W11" s="80"/>
      <c r="X11" s="80"/>
      <c r="Y11" s="80"/>
      <c r="Z11" s="80"/>
      <c r="AA11" s="80"/>
      <c r="AB11" s="80"/>
      <c r="AC11" s="80"/>
      <c r="AD11" s="80"/>
      <c r="AE11" s="78" t="str">
        <f>IF(NOT(ISBLANK(Audit[[#This Row],[Audit Winning Candidate]])), Audit[[#This Row],[Audit Winning Candidate]]-Audit[[#This Row],[Winning Candidate]], "")</f>
        <v/>
      </c>
      <c r="AF11" s="78" t="str">
        <f>IF(NOT(ISBLANK(Audit[[#This Row],[Audit Losing Candidate]])), Audit[[#This Row],[Audit Losing Candidate]]-Audit[[#This Row],[Losing Candidate]], "")</f>
        <v/>
      </c>
      <c r="AG11" s="78" t="str">
        <f>IF(NOT(ISBLANK(Audit[[#This Row],[Audit Candidate 3]])), Audit[[#This Row],[Audit Candidate 3]]-Audit[[#This Row],[Candidate 3]], "")</f>
        <v/>
      </c>
      <c r="AH11" s="78" t="str">
        <f>IF(NOT(ISBLANK(Audit[[#This Row],[Audit Candidate 4]])),Audit[[#This Row],[Audit Candidate 4]]-Audit[[#This Row],[Candidate 4]], "")</f>
        <v/>
      </c>
      <c r="AI11" s="78" t="str">
        <f>IF(NOT(ISBLANK(Audit[[#This Row],[Audit Candidate 5]])), Audit[[#This Row],[Audit Candidate 5]]-Audit[[#This Row],[Candidate 5]], "")</f>
        <v/>
      </c>
      <c r="AJ11" s="18" t="str">
        <f>IF(NOT(ISBLANK(Audit[[#This Row],[Audit Candidate 6]])), Audit[[#This Row],[Audit Candidate 6]]-Audit[[#This Row],[Candidate 6]], "")</f>
        <v/>
      </c>
      <c r="AK11" s="18" t="str">
        <f>IF(NOT(ISBLANK(Audit[[#This Row],[Audit Candidate 7]])), Audit[[#This Row],[Audit Candidate 7]]-Audit[[#This Row],[Candidate 7]], "")</f>
        <v/>
      </c>
      <c r="AL11" s="78" t="str">
        <f>IF(NOT(ISBLANK(Audit[[#This Row],[Audit Candidate 8]])), Audit[[#This Row],[Audit Candidate 8]]-Audit[[#This Row],[Candidate 8]], "")</f>
        <v/>
      </c>
      <c r="AM11" s="78" t="str">
        <f>IF(NOT(ISBLANK(Audit[[#This Row],[Audit Candidate 9]])), Audit[[#This Row],[Audit Candidate 9]]-Audit[[#This Row],[Candidate 9]], "")</f>
        <v/>
      </c>
      <c r="AN11" s="78" t="str">
        <f>IF(NOT(ISBLANK(Audit[[#This Row],[Audit Candidate 10]])), Audit[[#This Row],[Audit Candidate 10]]-Audit[[#This Row],[Candidate 10]], "")</f>
        <v/>
      </c>
      <c r="AO11" s="78" t="str">
        <f>IF(NOT(ISBLANK(Audit[[#This Row],[Audit Candidate 11]])), Audit[[#This Row],[Audit Candidate 11]]-Audit[[#This Row],[Candidate 11]], "")</f>
        <v/>
      </c>
      <c r="AP11" s="78" t="str">
        <f>IF(NOT(ISBLANK(Audit[[#This Row],[Audit Candidate 12]])), Audit[[#This Row],[Audit Candidate 12]]-Audit[[#This Row],[Candidate 12]], "")</f>
        <v/>
      </c>
      <c r="AQ11" s="78">
        <f>SUMIF(Audit[[#This Row],[Difference Winner]:[Difference Candidate 12]], "&gt;0")</f>
        <v>0</v>
      </c>
      <c r="AR11" s="78">
        <f>SUM(Audit[[#This Row],[Difference Winner]:[Difference Candidate 12]])</f>
        <v>0</v>
      </c>
      <c r="AS11" s="78">
        <f>IF(Audit[[#This Row],[Times p Drawn - With Replacement]]&gt;0, IF(Audit[[#This Row],[Canceled Differences]]&lt;0, Audit[[#This Row],[Max Differences]]+ABS(Audit[[#This Row],[Canceled Differences]]), Audit[[#This Row],[Max Differences]]), 0)</f>
        <v>0</v>
      </c>
      <c r="AT11" s="78">
        <f>'Sampling Data'!AB11</f>
        <v>1.2982614585685256E-3</v>
      </c>
      <c r="AU11" s="78">
        <f>IF(
      SUM(Audit[[#This Row],[Audit Losing Candidate]:[Audit Candidate 12]])
      &lt;&gt;0,
      (Audit[[#This Row],[Winning Candidate]]-Audit[[#This Row],[Losing Candidate]]-(Audit[[#This Row],[Audit Winning Candidate]]-Audit[[#This Row],[Audit Losing Candidate]]))/(Audit[[#Totals],[Winning Candidate]]-Audit[[#Totals],[Losing Candidate]]),
      0
)</f>
        <v>0</v>
      </c>
      <c r="AV11"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78">
        <f>IF(Audit[[#This Row],[Max Relative Error (ep)]] = 0, 0, Audit[[#This Row],[Max Relative Error (ep)]]/Audit[[#This Row],[Error Bound (up) - Max. possible relative overstatement]])</f>
        <v>0</v>
      </c>
      <c r="BH11"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 s="78">
        <f t="shared" si="0"/>
        <v>1</v>
      </c>
      <c r="BJ11" s="78">
        <f>PRODUCT($BI$5:BI11)</f>
        <v>1</v>
      </c>
      <c r="BK11" s="76">
        <f>1 - Audit[[#This Row],[K-M P Value]]</f>
        <v>0</v>
      </c>
      <c r="BL11" s="78" t="str">
        <f>IF(Audit[[#This Row],[K-M P Value]]&gt;1-'General Info'!$B$12,"Continue", "Stop")</f>
        <v>Continue</v>
      </c>
      <c r="BM11" s="77" t="b">
        <f>IF(Audit[[#This Row],[Status - Continue or stop audit]] = "Continue", TRUE, IF(BL10 = "Continue", TRUE, FALSE))</f>
        <v>1</v>
      </c>
      <c r="BN11" s="77"/>
    </row>
    <row r="12" spans="1:67" ht="14.5" hidden="1" x14ac:dyDescent="0.35">
      <c r="A12" s="18" t="str">
        <f>'Sampling Data'!AI12</f>
        <v/>
      </c>
      <c r="B12" s="18" t="str">
        <f>'Sampling Data'!A12</f>
        <v>0108 CIN 1-H   (AV)</v>
      </c>
      <c r="C12" s="19">
        <f>'Sampling Data'!B12</f>
        <v>10</v>
      </c>
      <c r="D12" s="19">
        <f>'Sampling Data'!C12</f>
        <v>2</v>
      </c>
      <c r="E12" s="19">
        <f>'Sampling Data'!D12</f>
        <v>0</v>
      </c>
      <c r="F12" s="19">
        <f>'Sampling Data'!E12</f>
        <v>0</v>
      </c>
      <c r="G12" s="19">
        <f>'Sampling Data'!F12</f>
        <v>0</v>
      </c>
      <c r="H12" s="19">
        <f>'Sampling Data'!G12</f>
        <v>0</v>
      </c>
      <c r="I12" s="19">
        <f>'Sampling Data'!H12</f>
        <v>0</v>
      </c>
      <c r="J12" s="19">
        <f>'Sampling Data'!I12</f>
        <v>0</v>
      </c>
      <c r="K12" s="19">
        <f>'Sampling Data'!J12</f>
        <v>0</v>
      </c>
      <c r="L12" s="19">
        <f>'Sampling Data'!K12</f>
        <v>0</v>
      </c>
      <c r="M12" s="19">
        <f>'Sampling Data'!L12</f>
        <v>0</v>
      </c>
      <c r="N12" s="19">
        <f>'Sampling Data'!M12</f>
        <v>0</v>
      </c>
      <c r="O12" s="19">
        <f>'Sampling Data'!N12</f>
        <v>0</v>
      </c>
      <c r="P12" s="19">
        <f>'Sampling Data'!O12</f>
        <v>0</v>
      </c>
      <c r="Q12" s="19">
        <f>'Sampling Data'!P12</f>
        <v>12</v>
      </c>
      <c r="R12" s="18">
        <f>'Sampling Data'!AJ12</f>
        <v>0</v>
      </c>
      <c r="S12" s="15"/>
      <c r="T12" s="15"/>
      <c r="U12" s="15"/>
      <c r="V12" s="15"/>
      <c r="W12" s="15"/>
      <c r="X12" s="15"/>
      <c r="Y12" s="15"/>
      <c r="Z12" s="15"/>
      <c r="AA12" s="15"/>
      <c r="AB12" s="15"/>
      <c r="AC12" s="15"/>
      <c r="AD12" s="15"/>
      <c r="AE12" s="18" t="str">
        <f>IF(NOT(ISBLANK(Audit[[#This Row],[Audit Winning Candidate]])), Audit[[#This Row],[Audit Winning Candidate]]-Audit[[#This Row],[Winning Candidate]], "")</f>
        <v/>
      </c>
      <c r="AF12" s="18" t="str">
        <f>IF(NOT(ISBLANK(Audit[[#This Row],[Audit Losing Candidate]])), Audit[[#This Row],[Audit Losing Candidate]]-Audit[[#This Row],[Losing Candidate]], "")</f>
        <v/>
      </c>
      <c r="AG12" s="18" t="str">
        <f>IF(NOT(ISBLANK(Audit[[#This Row],[Audit Candidate 3]])), Audit[[#This Row],[Audit Candidate 3]]-Audit[[#This Row],[Candidate 3]], "")</f>
        <v/>
      </c>
      <c r="AH12" s="18" t="str">
        <f>IF(NOT(ISBLANK(Audit[[#This Row],[Audit Candidate 4]])),Audit[[#This Row],[Audit Candidate 4]]-Audit[[#This Row],[Candidate 4]], "")</f>
        <v/>
      </c>
      <c r="AI12" s="18" t="str">
        <f>IF(NOT(ISBLANK(Audit[[#This Row],[Audit Candidate 5]])), Audit[[#This Row],[Audit Candidate 5]]-Audit[[#This Row],[Candidate 5]], "")</f>
        <v/>
      </c>
      <c r="AJ12" s="18" t="str">
        <f>IF(NOT(ISBLANK(Audit[[#This Row],[Audit Candidate 6]])), Audit[[#This Row],[Audit Candidate 6]]-Audit[[#This Row],[Candidate 6]], "")</f>
        <v/>
      </c>
      <c r="AK12" s="18" t="str">
        <f>IF(NOT(ISBLANK(Audit[[#This Row],[Audit Candidate 7]])), Audit[[#This Row],[Audit Candidate 7]]-Audit[[#This Row],[Candidate 7]], "")</f>
        <v/>
      </c>
      <c r="AL12" s="18" t="str">
        <f>IF(NOT(ISBLANK(Audit[[#This Row],[Audit Candidate 8]])), Audit[[#This Row],[Audit Candidate 8]]-Audit[[#This Row],[Candidate 8]], "")</f>
        <v/>
      </c>
      <c r="AM12" s="18" t="str">
        <f>IF(NOT(ISBLANK(Audit[[#This Row],[Audit Candidate 9]])), Audit[[#This Row],[Audit Candidate 9]]-Audit[[#This Row],[Candidate 9]], "")</f>
        <v/>
      </c>
      <c r="AN12" s="18" t="str">
        <f>IF(NOT(ISBLANK(Audit[[#This Row],[Audit Candidate 10]])), Audit[[#This Row],[Audit Candidate 10]]-Audit[[#This Row],[Candidate 10]], "")</f>
        <v/>
      </c>
      <c r="AO12" s="18" t="str">
        <f>IF(NOT(ISBLANK(Audit[[#This Row],[Audit Candidate 11]])), Audit[[#This Row],[Audit Candidate 11]]-Audit[[#This Row],[Candidate 11]], "")</f>
        <v/>
      </c>
      <c r="AP12" s="18" t="str">
        <f>IF(NOT(ISBLANK(Audit[[#This Row],[Audit Candidate 12]])), Audit[[#This Row],[Audit Candidate 12]]-Audit[[#This Row],[Candidate 12]], "")</f>
        <v/>
      </c>
      <c r="AQ12" s="18">
        <f>SUMIF(Audit[[#This Row],[Difference Winner]:[Difference Candidate 12]], "&gt;0")</f>
        <v>0</v>
      </c>
      <c r="AR12" s="18">
        <f>SUM(Audit[[#This Row],[Difference Winner]:[Difference Candidate 12]])</f>
        <v>0</v>
      </c>
      <c r="AS12" s="18">
        <f>IF(Audit[[#This Row],[Times p Drawn - With Replacement]]&gt;0, IF(Audit[[#This Row],[Canceled Differences]]&lt;0, Audit[[#This Row],[Max Differences]]+ABS(Audit[[#This Row],[Canceled Differences]]), Audit[[#This Row],[Max Differences]]), 0)</f>
        <v>0</v>
      </c>
      <c r="AT12" s="18">
        <f>'Sampling Data'!AB12</f>
        <v>1.2641425952847481E-3</v>
      </c>
      <c r="AU12" s="18">
        <f>IF(
      SUM(Audit[[#This Row],[Audit Losing Candidate]:[Audit Candidate 12]])
      &lt;&gt;0,
      (Audit[[#This Row],[Winning Candidate]]-Audit[[#This Row],[Losing Candidate]]-(Audit[[#This Row],[Audit Winning Candidate]]-Audit[[#This Row],[Audit Losing Candidate]]))/(Audit[[#Totals],[Winning Candidate]]-Audit[[#Totals],[Losing Candidate]]),
      0
)</f>
        <v>0</v>
      </c>
      <c r="AV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18">
        <f>IF(Audit[[#This Row],[Max Relative Error (ep)]] = 0, 0, Audit[[#This Row],[Max Relative Error (ep)]]/Audit[[#This Row],[Error Bound (up) - Max. possible relative overstatement]])</f>
        <v>0</v>
      </c>
      <c r="BH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 s="18">
        <f t="shared" si="0"/>
        <v>1</v>
      </c>
      <c r="BJ12" s="18">
        <f>PRODUCT($BI$5:BI12)</f>
        <v>1</v>
      </c>
      <c r="BK12" s="20">
        <f>1 - Audit[[#This Row],[K-M P Value]]</f>
        <v>0</v>
      </c>
      <c r="BL12" s="18" t="str">
        <f>IF(Audit[[#This Row],[K-M P Value]]&gt;1-'General Info'!$B$12,"Continue", "Stop")</f>
        <v>Continue</v>
      </c>
      <c r="BM12" s="23" t="b">
        <f>IF(Audit[[#This Row],[Status - Continue or stop audit]] = "Continue", TRUE, IF(BL11 = "Continue", TRUE, FALSE))</f>
        <v>1</v>
      </c>
      <c r="BN12" s="23"/>
    </row>
    <row r="13" spans="1:67" ht="14.5" hidden="1" x14ac:dyDescent="0.35">
      <c r="A13" s="78" t="str">
        <f>'Sampling Data'!AI13</f>
        <v/>
      </c>
      <c r="B13" s="78" t="str">
        <f>'Sampling Data'!A13</f>
        <v>0109 CIN 1-I   (AV)</v>
      </c>
      <c r="C13" s="78">
        <f>'Sampling Data'!B13</f>
        <v>18</v>
      </c>
      <c r="D13" s="78">
        <f>'Sampling Data'!C13</f>
        <v>4</v>
      </c>
      <c r="E13" s="79">
        <f>'Sampling Data'!D13</f>
        <v>0</v>
      </c>
      <c r="F13" s="79">
        <f>'Sampling Data'!E13</f>
        <v>0</v>
      </c>
      <c r="G13" s="79">
        <f>'Sampling Data'!F13</f>
        <v>0</v>
      </c>
      <c r="H13" s="19">
        <f>'Sampling Data'!G13</f>
        <v>0</v>
      </c>
      <c r="I13" s="19">
        <f>'Sampling Data'!H13</f>
        <v>0</v>
      </c>
      <c r="J13" s="79">
        <f>'Sampling Data'!I13</f>
        <v>0</v>
      </c>
      <c r="K13" s="79">
        <f>'Sampling Data'!J13</f>
        <v>0</v>
      </c>
      <c r="L13" s="79">
        <f>'Sampling Data'!K13</f>
        <v>0</v>
      </c>
      <c r="M13" s="79">
        <f>'Sampling Data'!L13</f>
        <v>0</v>
      </c>
      <c r="N13" s="79">
        <f>'Sampling Data'!M13</f>
        <v>0</v>
      </c>
      <c r="O13" s="78">
        <f>'Sampling Data'!N13</f>
        <v>0</v>
      </c>
      <c r="P13" s="78">
        <f>'Sampling Data'!O13</f>
        <v>0</v>
      </c>
      <c r="Q13" s="78">
        <f>'Sampling Data'!P13</f>
        <v>22</v>
      </c>
      <c r="R13" s="78">
        <f>'Sampling Data'!AJ13</f>
        <v>0</v>
      </c>
      <c r="S13" s="80"/>
      <c r="T13" s="80"/>
      <c r="U13" s="81"/>
      <c r="V13" s="81"/>
      <c r="W13" s="80"/>
      <c r="X13" s="80"/>
      <c r="Y13" s="80"/>
      <c r="Z13" s="80"/>
      <c r="AA13" s="80"/>
      <c r="AB13" s="80"/>
      <c r="AC13" s="80"/>
      <c r="AD13" s="80"/>
      <c r="AE13" s="78" t="str">
        <f>IF(NOT(ISBLANK(Audit[[#This Row],[Audit Winning Candidate]])), Audit[[#This Row],[Audit Winning Candidate]]-Audit[[#This Row],[Winning Candidate]], "")</f>
        <v/>
      </c>
      <c r="AF13" s="78" t="str">
        <f>IF(NOT(ISBLANK(Audit[[#This Row],[Audit Losing Candidate]])), Audit[[#This Row],[Audit Losing Candidate]]-Audit[[#This Row],[Losing Candidate]], "")</f>
        <v/>
      </c>
      <c r="AG13" s="78" t="str">
        <f>IF(NOT(ISBLANK(Audit[[#This Row],[Audit Candidate 3]])), Audit[[#This Row],[Audit Candidate 3]]-Audit[[#This Row],[Candidate 3]], "")</f>
        <v/>
      </c>
      <c r="AH13" s="78" t="str">
        <f>IF(NOT(ISBLANK(Audit[[#This Row],[Audit Candidate 4]])),Audit[[#This Row],[Audit Candidate 4]]-Audit[[#This Row],[Candidate 4]], "")</f>
        <v/>
      </c>
      <c r="AI13" s="78" t="str">
        <f>IF(NOT(ISBLANK(Audit[[#This Row],[Audit Candidate 5]])), Audit[[#This Row],[Audit Candidate 5]]-Audit[[#This Row],[Candidate 5]], "")</f>
        <v/>
      </c>
      <c r="AJ13" s="18" t="str">
        <f>IF(NOT(ISBLANK(Audit[[#This Row],[Audit Candidate 6]])), Audit[[#This Row],[Audit Candidate 6]]-Audit[[#This Row],[Candidate 6]], "")</f>
        <v/>
      </c>
      <c r="AK13" s="18" t="str">
        <f>IF(NOT(ISBLANK(Audit[[#This Row],[Audit Candidate 7]])), Audit[[#This Row],[Audit Candidate 7]]-Audit[[#This Row],[Candidate 7]], "")</f>
        <v/>
      </c>
      <c r="AL13" s="78" t="str">
        <f>IF(NOT(ISBLANK(Audit[[#This Row],[Audit Candidate 8]])), Audit[[#This Row],[Audit Candidate 8]]-Audit[[#This Row],[Candidate 8]], "")</f>
        <v/>
      </c>
      <c r="AM13" s="78" t="str">
        <f>IF(NOT(ISBLANK(Audit[[#This Row],[Audit Candidate 9]])), Audit[[#This Row],[Audit Candidate 9]]-Audit[[#This Row],[Candidate 9]], "")</f>
        <v/>
      </c>
      <c r="AN13" s="78" t="str">
        <f>IF(NOT(ISBLANK(Audit[[#This Row],[Audit Candidate 10]])), Audit[[#This Row],[Audit Candidate 10]]-Audit[[#This Row],[Candidate 10]], "")</f>
        <v/>
      </c>
      <c r="AO13" s="78" t="str">
        <f>IF(NOT(ISBLANK(Audit[[#This Row],[Audit Candidate 11]])), Audit[[#This Row],[Audit Candidate 11]]-Audit[[#This Row],[Candidate 11]], "")</f>
        <v/>
      </c>
      <c r="AP13" s="78" t="str">
        <f>IF(NOT(ISBLANK(Audit[[#This Row],[Audit Candidate 12]])), Audit[[#This Row],[Audit Candidate 12]]-Audit[[#This Row],[Candidate 12]], "")</f>
        <v/>
      </c>
      <c r="AQ13" s="78">
        <f>SUMIF(Audit[[#This Row],[Difference Winner]:[Difference Candidate 12]], "&gt;0")</f>
        <v>0</v>
      </c>
      <c r="AR13" s="78">
        <f>SUM(Audit[[#This Row],[Difference Winner]:[Difference Candidate 12]])</f>
        <v>0</v>
      </c>
      <c r="AS13" s="78">
        <f>IF(Audit[[#This Row],[Times p Drawn - With Replacement]]&gt;0, IF(Audit[[#This Row],[Canceled Differences]]&lt;0, Audit[[#This Row],[Max Differences]]+ABS(Audit[[#This Row],[Canceled Differences]]), Audit[[#This Row],[Max Differences]]), 0)</f>
        <v>0</v>
      </c>
      <c r="AT13" s="78">
        <f>'Sampling Data'!AB13</f>
        <v>2.2754566715125464E-3</v>
      </c>
      <c r="AU13" s="78">
        <f>IF(
      SUM(Audit[[#This Row],[Audit Losing Candidate]:[Audit Candidate 12]])
      &lt;&gt;0,
      (Audit[[#This Row],[Winning Candidate]]-Audit[[#This Row],[Losing Candidate]]-(Audit[[#This Row],[Audit Winning Candidate]]-Audit[[#This Row],[Audit Losing Candidate]]))/(Audit[[#Totals],[Winning Candidate]]-Audit[[#Totals],[Losing Candidate]]),
      0
)</f>
        <v>0</v>
      </c>
      <c r="AV13"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78">
        <f>IF(Audit[[#This Row],[Max Relative Error (ep)]] = 0, 0, Audit[[#This Row],[Max Relative Error (ep)]]/Audit[[#This Row],[Error Bound (up) - Max. possible relative overstatement]])</f>
        <v>0</v>
      </c>
      <c r="BH13"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 s="78">
        <f t="shared" si="0"/>
        <v>1</v>
      </c>
      <c r="BJ13" s="78">
        <f>PRODUCT($BI$5:BI13)</f>
        <v>1</v>
      </c>
      <c r="BK13" s="76">
        <f>1 - Audit[[#This Row],[K-M P Value]]</f>
        <v>0</v>
      </c>
      <c r="BL13" s="78" t="str">
        <f>IF(Audit[[#This Row],[K-M P Value]]&gt;1-'General Info'!$B$12,"Continue", "Stop")</f>
        <v>Continue</v>
      </c>
      <c r="BM13" s="77" t="b">
        <f>IF(Audit[[#This Row],[Status - Continue or stop audit]] = "Continue", TRUE, IF(BL12 = "Continue", TRUE, FALSE))</f>
        <v>1</v>
      </c>
      <c r="BN13" s="77"/>
    </row>
    <row r="14" spans="1:67" ht="14.5" hidden="1" x14ac:dyDescent="0.35">
      <c r="A14" s="18" t="str">
        <f>'Sampling Data'!AI14</f>
        <v/>
      </c>
      <c r="B14" s="18" t="str">
        <f>'Sampling Data'!A14</f>
        <v>0110 CIN 1-J   (AV)</v>
      </c>
      <c r="C14" s="19">
        <f>'Sampling Data'!B14</f>
        <v>13</v>
      </c>
      <c r="D14" s="19">
        <f>'Sampling Data'!C14</f>
        <v>3</v>
      </c>
      <c r="E14" s="19">
        <f>'Sampling Data'!D14</f>
        <v>1</v>
      </c>
      <c r="F14" s="19">
        <f>'Sampling Data'!E14</f>
        <v>0</v>
      </c>
      <c r="G14" s="19">
        <f>'Sampling Data'!F14</f>
        <v>0</v>
      </c>
      <c r="H14" s="19">
        <f>'Sampling Data'!G14</f>
        <v>0</v>
      </c>
      <c r="I14" s="19">
        <f>'Sampling Data'!H14</f>
        <v>0</v>
      </c>
      <c r="J14" s="19">
        <f>'Sampling Data'!I14</f>
        <v>0</v>
      </c>
      <c r="K14" s="19">
        <f>'Sampling Data'!J14</f>
        <v>0</v>
      </c>
      <c r="L14" s="19">
        <f>'Sampling Data'!K14</f>
        <v>0</v>
      </c>
      <c r="M14" s="19">
        <f>'Sampling Data'!L14</f>
        <v>0</v>
      </c>
      <c r="N14" s="19">
        <f>'Sampling Data'!M14</f>
        <v>0</v>
      </c>
      <c r="O14" s="19">
        <f>'Sampling Data'!N14</f>
        <v>0</v>
      </c>
      <c r="P14" s="19">
        <f>'Sampling Data'!O14</f>
        <v>0</v>
      </c>
      <c r="Q14" s="19">
        <f>'Sampling Data'!P14</f>
        <v>17</v>
      </c>
      <c r="R14" s="18">
        <f>'Sampling Data'!AJ14</f>
        <v>0</v>
      </c>
      <c r="S14" s="15"/>
      <c r="T14" s="15"/>
      <c r="U14" s="15"/>
      <c r="V14" s="15"/>
      <c r="W14" s="15"/>
      <c r="X14" s="15"/>
      <c r="Y14" s="15"/>
      <c r="Z14" s="15"/>
      <c r="AA14" s="15"/>
      <c r="AB14" s="15"/>
      <c r="AC14" s="15"/>
      <c r="AD14" s="15"/>
      <c r="AE14" s="18" t="str">
        <f>IF(NOT(ISBLANK(Audit[[#This Row],[Audit Winning Candidate]])), Audit[[#This Row],[Audit Winning Candidate]]-Audit[[#This Row],[Winning Candidate]], "")</f>
        <v/>
      </c>
      <c r="AF14" s="18" t="str">
        <f>IF(NOT(ISBLANK(Audit[[#This Row],[Audit Losing Candidate]])), Audit[[#This Row],[Audit Losing Candidate]]-Audit[[#This Row],[Losing Candidate]], "")</f>
        <v/>
      </c>
      <c r="AG14" s="18" t="str">
        <f>IF(NOT(ISBLANK(Audit[[#This Row],[Audit Candidate 3]])), Audit[[#This Row],[Audit Candidate 3]]-Audit[[#This Row],[Candidate 3]], "")</f>
        <v/>
      </c>
      <c r="AH14" s="18" t="str">
        <f>IF(NOT(ISBLANK(Audit[[#This Row],[Audit Candidate 4]])),Audit[[#This Row],[Audit Candidate 4]]-Audit[[#This Row],[Candidate 4]], "")</f>
        <v/>
      </c>
      <c r="AI14" s="18" t="str">
        <f>IF(NOT(ISBLANK(Audit[[#This Row],[Audit Candidate 5]])), Audit[[#This Row],[Audit Candidate 5]]-Audit[[#This Row],[Candidate 5]], "")</f>
        <v/>
      </c>
      <c r="AJ14" s="18" t="str">
        <f>IF(NOT(ISBLANK(Audit[[#This Row],[Audit Candidate 6]])), Audit[[#This Row],[Audit Candidate 6]]-Audit[[#This Row],[Candidate 6]], "")</f>
        <v/>
      </c>
      <c r="AK14" s="18" t="str">
        <f>IF(NOT(ISBLANK(Audit[[#This Row],[Audit Candidate 7]])), Audit[[#This Row],[Audit Candidate 7]]-Audit[[#This Row],[Candidate 7]], "")</f>
        <v/>
      </c>
      <c r="AL14" s="18" t="str">
        <f>IF(NOT(ISBLANK(Audit[[#This Row],[Audit Candidate 8]])), Audit[[#This Row],[Audit Candidate 8]]-Audit[[#This Row],[Candidate 8]], "")</f>
        <v/>
      </c>
      <c r="AM14" s="18" t="str">
        <f>IF(NOT(ISBLANK(Audit[[#This Row],[Audit Candidate 9]])), Audit[[#This Row],[Audit Candidate 9]]-Audit[[#This Row],[Candidate 9]], "")</f>
        <v/>
      </c>
      <c r="AN14" s="18" t="str">
        <f>IF(NOT(ISBLANK(Audit[[#This Row],[Audit Candidate 10]])), Audit[[#This Row],[Audit Candidate 10]]-Audit[[#This Row],[Candidate 10]], "")</f>
        <v/>
      </c>
      <c r="AO14" s="18" t="str">
        <f>IF(NOT(ISBLANK(Audit[[#This Row],[Audit Candidate 11]])), Audit[[#This Row],[Audit Candidate 11]]-Audit[[#This Row],[Candidate 11]], "")</f>
        <v/>
      </c>
      <c r="AP14" s="18" t="str">
        <f>IF(NOT(ISBLANK(Audit[[#This Row],[Audit Candidate 12]])), Audit[[#This Row],[Audit Candidate 12]]-Audit[[#This Row],[Candidate 12]], "")</f>
        <v/>
      </c>
      <c r="AQ14" s="18">
        <f>SUMIF(Audit[[#This Row],[Difference Winner]:[Difference Candidate 12]], "&gt;0")</f>
        <v>0</v>
      </c>
      <c r="AR14" s="18">
        <f>SUM(Audit[[#This Row],[Difference Winner]:[Difference Candidate 12]])</f>
        <v>0</v>
      </c>
      <c r="AS14" s="18">
        <f>IF(Audit[[#This Row],[Times p Drawn - With Replacement]]&gt;0, IF(Audit[[#This Row],[Canceled Differences]]&lt;0, Audit[[#This Row],[Max Differences]]+ABS(Audit[[#This Row],[Canceled Differences]]), Audit[[#This Row],[Max Differences]]), 0)</f>
        <v>0</v>
      </c>
      <c r="AT14" s="18">
        <f>'Sampling Data'!AB14</f>
        <v>1.70659250363441E-3</v>
      </c>
      <c r="AU14" s="18">
        <f>IF(
      SUM(Audit[[#This Row],[Audit Losing Candidate]:[Audit Candidate 12]])
      &lt;&gt;0,
      (Audit[[#This Row],[Winning Candidate]]-Audit[[#This Row],[Losing Candidate]]-(Audit[[#This Row],[Audit Winning Candidate]]-Audit[[#This Row],[Audit Losing Candidate]]))/(Audit[[#Totals],[Winning Candidate]]-Audit[[#Totals],[Losing Candidate]]),
      0
)</f>
        <v>0</v>
      </c>
      <c r="AV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18">
        <f>IF(Audit[[#This Row],[Max Relative Error (ep)]] = 0, 0, Audit[[#This Row],[Max Relative Error (ep)]]/Audit[[#This Row],[Error Bound (up) - Max. possible relative overstatement]])</f>
        <v>0</v>
      </c>
      <c r="BH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 s="18">
        <f t="shared" si="0"/>
        <v>1</v>
      </c>
      <c r="BJ14">
        <f>PRODUCT($BI$5:BI384)</f>
        <v>7.4038944863463699E-2</v>
      </c>
      <c r="BK14" s="20">
        <f>1 - Audit[[#This Row],[K-M P Value]]</f>
        <v>0.92596105513653626</v>
      </c>
      <c r="BL14" s="18" t="str">
        <f>IF(Audit[[#This Row],[K-M P Value]]&gt;1-'General Info'!$B$12,"Continue", "Stop")</f>
        <v>Stop</v>
      </c>
      <c r="BM14" s="23" t="b">
        <f>IF(Audit[[#This Row],[Status - Continue or stop audit]] = "Continue", TRUE, IF(BL13 = "Continue", TRUE, FALSE))</f>
        <v>1</v>
      </c>
      <c r="BN14" s="23"/>
    </row>
    <row r="15" spans="1:67" ht="15" hidden="1" customHeight="1" x14ac:dyDescent="0.35">
      <c r="A15" s="114" t="str">
        <f>'Sampling Data'!AI15</f>
        <v/>
      </c>
      <c r="B15" s="114" t="str">
        <f>'Sampling Data'!A15</f>
        <v>0111 CIN 1-K   (AV)</v>
      </c>
      <c r="C15" s="114">
        <f>'Sampling Data'!B15</f>
        <v>15</v>
      </c>
      <c r="D15" s="114">
        <f>'Sampling Data'!C15</f>
        <v>0</v>
      </c>
      <c r="E15" s="115">
        <f>'Sampling Data'!D15</f>
        <v>2</v>
      </c>
      <c r="F15" s="115">
        <f>'Sampling Data'!E15</f>
        <v>0</v>
      </c>
      <c r="G15" s="115">
        <f>'Sampling Data'!F15</f>
        <v>0</v>
      </c>
      <c r="H15" s="115">
        <f>'Sampling Data'!G15</f>
        <v>0</v>
      </c>
      <c r="I15" s="115">
        <f>'Sampling Data'!H15</f>
        <v>0</v>
      </c>
      <c r="J15" s="115">
        <f>'Sampling Data'!I15</f>
        <v>0</v>
      </c>
      <c r="K15" s="115">
        <f>'Sampling Data'!J15</f>
        <v>0</v>
      </c>
      <c r="L15" s="115">
        <f>'Sampling Data'!K15</f>
        <v>0</v>
      </c>
      <c r="M15" s="115">
        <f>'Sampling Data'!L15</f>
        <v>0</v>
      </c>
      <c r="N15" s="115">
        <f>'Sampling Data'!M15</f>
        <v>0</v>
      </c>
      <c r="O15" s="114">
        <f>'Sampling Data'!N15</f>
        <v>0</v>
      </c>
      <c r="P15" s="114">
        <f>'Sampling Data'!O15</f>
        <v>0</v>
      </c>
      <c r="Q15" s="114">
        <f>'Sampling Data'!P15</f>
        <v>17</v>
      </c>
      <c r="R15" s="114">
        <f>'Sampling Data'!AJ15</f>
        <v>0</v>
      </c>
      <c r="S15" s="116"/>
      <c r="T15" s="116"/>
      <c r="U15" s="117"/>
      <c r="V15" s="117"/>
      <c r="W15" s="116"/>
      <c r="X15" s="116"/>
      <c r="Y15" s="116"/>
      <c r="Z15" s="116"/>
      <c r="AA15" s="15"/>
      <c r="AB15" s="15"/>
      <c r="AC15" s="15"/>
      <c r="AD15" s="15"/>
      <c r="AE15" s="118" t="str">
        <f>IF(NOT(ISBLANK(Audit[[#This Row],[Audit Winning Candidate]])), Audit[[#This Row],[Audit Winning Candidate]]-Audit[[#This Row],[Winning Candidate]], "")</f>
        <v/>
      </c>
      <c r="AF15" s="114" t="str">
        <f>IF(NOT(ISBLANK(Audit[[#This Row],[Audit Losing Candidate]])), Audit[[#This Row],[Audit Losing Candidate]]-Audit[[#This Row],[Losing Candidate]], "")</f>
        <v/>
      </c>
      <c r="AG15" s="114" t="str">
        <f>IF(NOT(ISBLANK(Audit[[#This Row],[Audit Candidate 3]])), Audit[[#This Row],[Audit Candidate 3]]-Audit[[#This Row],[Candidate 3]], "")</f>
        <v/>
      </c>
      <c r="AH15" s="114" t="str">
        <f>IF(NOT(ISBLANK(Audit[[#This Row],[Audit Candidate 4]])),Audit[[#This Row],[Audit Candidate 4]]-Audit[[#This Row],[Candidate 4]], "")</f>
        <v/>
      </c>
      <c r="AI15" s="114" t="str">
        <f>IF(NOT(ISBLANK(Audit[[#This Row],[Audit Candidate 5]])), Audit[[#This Row],[Audit Candidate 5]]-Audit[[#This Row],[Candidate 5]], "")</f>
        <v/>
      </c>
      <c r="AJ15" s="114" t="str">
        <f>IF(NOT(ISBLANK(Audit[[#This Row],[Audit Candidate 6]])), Audit[[#This Row],[Audit Candidate 6]]-Audit[[#This Row],[Candidate 6]], "")</f>
        <v/>
      </c>
      <c r="AK15" s="114" t="str">
        <f>IF(NOT(ISBLANK(Audit[[#This Row],[Audit Candidate 7]])), Audit[[#This Row],[Audit Candidate 7]]-Audit[[#This Row],[Candidate 7]], "")</f>
        <v/>
      </c>
      <c r="AL15" s="114" t="str">
        <f>IF(NOT(ISBLANK(Audit[[#This Row],[Audit Candidate 8]])), Audit[[#This Row],[Audit Candidate 8]]-Audit[[#This Row],[Candidate 8]], "")</f>
        <v/>
      </c>
      <c r="AM15" s="114" t="str">
        <f>IF(NOT(ISBLANK(Audit[[#This Row],[Audit Candidate 9]])), Audit[[#This Row],[Audit Candidate 9]]-Audit[[#This Row],[Candidate 9]], "")</f>
        <v/>
      </c>
      <c r="AN15" s="114" t="str">
        <f>IF(NOT(ISBLANK(Audit[[#This Row],[Audit Candidate 10]])), Audit[[#This Row],[Audit Candidate 10]]-Audit[[#This Row],[Candidate 10]], "")</f>
        <v/>
      </c>
      <c r="AO15" s="114" t="str">
        <f>IF(NOT(ISBLANK(Audit[[#This Row],[Audit Candidate 11]])), Audit[[#This Row],[Audit Candidate 11]]-Audit[[#This Row],[Candidate 11]], "")</f>
        <v/>
      </c>
      <c r="AP15" s="114" t="str">
        <f>IF(NOT(ISBLANK(Audit[[#This Row],[Audit Candidate 12]])), Audit[[#This Row],[Audit Candidate 12]]-Audit[[#This Row],[Candidate 12]], "")</f>
        <v/>
      </c>
      <c r="AQ15" s="114">
        <f>SUMIF(Audit[[#This Row],[Difference Winner]:[Difference Candidate 12]], "&gt;0")</f>
        <v>0</v>
      </c>
      <c r="AR15" s="114">
        <f>SUM(Audit[[#This Row],[Difference Winner]:[Difference Candidate 12]])</f>
        <v>0</v>
      </c>
      <c r="AS15" s="114">
        <f>IF(Audit[[#This Row],[Times p Drawn - With Replacement]]&gt;0, IF(Audit[[#This Row],[Canceled Differences]]&lt;0, Audit[[#This Row],[Max Differences]]+ABS(Audit[[#This Row],[Canceled Differences]]), Audit[[#This Row],[Max Differences]]), 0)</f>
        <v>0</v>
      </c>
      <c r="AT15" s="114">
        <f>'Sampling Data'!AB15</f>
        <v>2.022628152455597E-3</v>
      </c>
      <c r="AU15" s="114">
        <f>IF(
      SUM(Audit[[#This Row],[Audit Losing Candidate]:[Audit Candidate 12]])
      &lt;&gt;0,
      (Audit[[#This Row],[Winning Candidate]]-Audit[[#This Row],[Losing Candidate]]-(Audit[[#This Row],[Audit Winning Candidate]]-Audit[[#This Row],[Audit Losing Candidate]]))/(Audit[[#Totals],[Winning Candidate]]-Audit[[#Totals],[Losing Candidate]]),
      0
)</f>
        <v>0</v>
      </c>
      <c r="AV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114">
        <f>IF(Audit[[#This Row],[Max Relative Error (ep)]] = 0, 0, Audit[[#This Row],[Max Relative Error (ep)]]/Audit[[#This Row],[Error Bound (up) - Max. possible relative overstatement]])</f>
        <v>0</v>
      </c>
      <c r="BH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 s="114">
        <f t="shared" ref="BI15:BI78" si="1">IF(ISERR(POWER(BH15,R15)), 0, POWER(BH15,R15))</f>
        <v>1</v>
      </c>
      <c r="BJ15" s="114">
        <f>PRODUCT($BI$5:BI15)</f>
        <v>1</v>
      </c>
      <c r="BK15" s="112">
        <f>1 - Audit[[#This Row],[K-M P Value]]</f>
        <v>0</v>
      </c>
      <c r="BL15" s="114" t="str">
        <f>IF(Audit[[#This Row],[K-M P Value]]&gt;1-'General Info'!$B$12,"Continue", "Stop")</f>
        <v>Continue</v>
      </c>
      <c r="BM15" s="113" t="b">
        <f>IF(Audit[[#This Row],[Status - Continue or stop audit]] = "Continue", TRUE, IF(BL14 = "Continue", TRUE, FALSE))</f>
        <v>1</v>
      </c>
      <c r="BN15" s="113"/>
    </row>
    <row r="16" spans="1:67" ht="15" hidden="1" customHeight="1" x14ac:dyDescent="0.35">
      <c r="A16" s="114" t="str">
        <f>'Sampling Data'!AI16</f>
        <v/>
      </c>
      <c r="B16" s="114" t="str">
        <f>'Sampling Data'!A16</f>
        <v>0112 CIN 1-L   (AV)</v>
      </c>
      <c r="C16" s="114">
        <f>'Sampling Data'!B16</f>
        <v>7</v>
      </c>
      <c r="D16" s="114">
        <f>'Sampling Data'!C16</f>
        <v>1</v>
      </c>
      <c r="E16" s="115">
        <f>'Sampling Data'!D16</f>
        <v>1</v>
      </c>
      <c r="F16" s="115">
        <f>'Sampling Data'!E16</f>
        <v>0</v>
      </c>
      <c r="G16" s="115">
        <f>'Sampling Data'!F16</f>
        <v>0</v>
      </c>
      <c r="H16" s="115">
        <f>'Sampling Data'!G16</f>
        <v>0</v>
      </c>
      <c r="I16" s="115">
        <f>'Sampling Data'!H16</f>
        <v>0</v>
      </c>
      <c r="J16" s="115">
        <f>'Sampling Data'!I16</f>
        <v>0</v>
      </c>
      <c r="K16" s="115">
        <f>'Sampling Data'!J16</f>
        <v>0</v>
      </c>
      <c r="L16" s="115">
        <f>'Sampling Data'!K16</f>
        <v>0</v>
      </c>
      <c r="M16" s="115">
        <f>'Sampling Data'!L16</f>
        <v>0</v>
      </c>
      <c r="N16" s="115">
        <f>'Sampling Data'!M16</f>
        <v>0</v>
      </c>
      <c r="O16" s="114">
        <f>'Sampling Data'!N16</f>
        <v>0</v>
      </c>
      <c r="P16" s="114">
        <f>'Sampling Data'!O16</f>
        <v>1</v>
      </c>
      <c r="Q16" s="114">
        <f>'Sampling Data'!P16</f>
        <v>10</v>
      </c>
      <c r="R16" s="114">
        <f>'Sampling Data'!AJ16</f>
        <v>0</v>
      </c>
      <c r="S16" s="116"/>
      <c r="T16" s="116"/>
      <c r="U16" s="117"/>
      <c r="V16" s="117"/>
      <c r="W16" s="116"/>
      <c r="X16" s="116"/>
      <c r="Y16" s="116"/>
      <c r="Z16" s="116"/>
      <c r="AA16" s="15"/>
      <c r="AB16" s="15"/>
      <c r="AC16" s="15"/>
      <c r="AD16" s="15"/>
      <c r="AE16" s="118" t="str">
        <f>IF(NOT(ISBLANK(Audit[[#This Row],[Audit Winning Candidate]])), Audit[[#This Row],[Audit Winning Candidate]]-Audit[[#This Row],[Winning Candidate]], "")</f>
        <v/>
      </c>
      <c r="AF16" s="114" t="str">
        <f>IF(NOT(ISBLANK(Audit[[#This Row],[Audit Losing Candidate]])), Audit[[#This Row],[Audit Losing Candidate]]-Audit[[#This Row],[Losing Candidate]], "")</f>
        <v/>
      </c>
      <c r="AG16" s="114" t="str">
        <f>IF(NOT(ISBLANK(Audit[[#This Row],[Audit Candidate 3]])), Audit[[#This Row],[Audit Candidate 3]]-Audit[[#This Row],[Candidate 3]], "")</f>
        <v/>
      </c>
      <c r="AH16" s="114" t="str">
        <f>IF(NOT(ISBLANK(Audit[[#This Row],[Audit Candidate 4]])),Audit[[#This Row],[Audit Candidate 4]]-Audit[[#This Row],[Candidate 4]], "")</f>
        <v/>
      </c>
      <c r="AI16" s="114" t="str">
        <f>IF(NOT(ISBLANK(Audit[[#This Row],[Audit Candidate 5]])), Audit[[#This Row],[Audit Candidate 5]]-Audit[[#This Row],[Candidate 5]], "")</f>
        <v/>
      </c>
      <c r="AJ16" s="114" t="str">
        <f>IF(NOT(ISBLANK(Audit[[#This Row],[Audit Candidate 6]])), Audit[[#This Row],[Audit Candidate 6]]-Audit[[#This Row],[Candidate 6]], "")</f>
        <v/>
      </c>
      <c r="AK16" s="114" t="str">
        <f>IF(NOT(ISBLANK(Audit[[#This Row],[Audit Candidate 7]])), Audit[[#This Row],[Audit Candidate 7]]-Audit[[#This Row],[Candidate 7]], "")</f>
        <v/>
      </c>
      <c r="AL16" s="114" t="str">
        <f>IF(NOT(ISBLANK(Audit[[#This Row],[Audit Candidate 8]])), Audit[[#This Row],[Audit Candidate 8]]-Audit[[#This Row],[Candidate 8]], "")</f>
        <v/>
      </c>
      <c r="AM16" s="114" t="str">
        <f>IF(NOT(ISBLANK(Audit[[#This Row],[Audit Candidate 9]])), Audit[[#This Row],[Audit Candidate 9]]-Audit[[#This Row],[Candidate 9]], "")</f>
        <v/>
      </c>
      <c r="AN16" s="114" t="str">
        <f>IF(NOT(ISBLANK(Audit[[#This Row],[Audit Candidate 10]])), Audit[[#This Row],[Audit Candidate 10]]-Audit[[#This Row],[Candidate 10]], "")</f>
        <v/>
      </c>
      <c r="AO16" s="114" t="str">
        <f>IF(NOT(ISBLANK(Audit[[#This Row],[Audit Candidate 11]])), Audit[[#This Row],[Audit Candidate 11]]-Audit[[#This Row],[Candidate 11]], "")</f>
        <v/>
      </c>
      <c r="AP16" s="114" t="str">
        <f>IF(NOT(ISBLANK(Audit[[#This Row],[Audit Candidate 12]])), Audit[[#This Row],[Audit Candidate 12]]-Audit[[#This Row],[Candidate 12]], "")</f>
        <v/>
      </c>
      <c r="AQ16" s="114">
        <f>SUMIF(Audit[[#This Row],[Difference Winner]:[Difference Candidate 12]], "&gt;0")</f>
        <v>0</v>
      </c>
      <c r="AR16" s="114">
        <f>SUM(Audit[[#This Row],[Difference Winner]:[Difference Candidate 12]])</f>
        <v>0</v>
      </c>
      <c r="AS16" s="114">
        <f>IF(Audit[[#This Row],[Times p Drawn - With Replacement]]&gt;0, IF(Audit[[#This Row],[Canceled Differences]]&lt;0, Audit[[#This Row],[Max Differences]]+ABS(Audit[[#This Row],[Canceled Differences]]), Audit[[#This Row],[Max Differences]]), 0)</f>
        <v>0</v>
      </c>
      <c r="AT16" s="114">
        <f>'Sampling Data'!AB16</f>
        <v>1.0113140762277985E-3</v>
      </c>
      <c r="AU16" s="114">
        <f>IF(
      SUM(Audit[[#This Row],[Audit Losing Candidate]:[Audit Candidate 12]])
      &lt;&gt;0,
      (Audit[[#This Row],[Winning Candidate]]-Audit[[#This Row],[Losing Candidate]]-(Audit[[#This Row],[Audit Winning Candidate]]-Audit[[#This Row],[Audit Losing Candidate]]))/(Audit[[#Totals],[Winning Candidate]]-Audit[[#Totals],[Losing Candidate]]),
      0
)</f>
        <v>0</v>
      </c>
      <c r="AV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114">
        <f>IF(Audit[[#This Row],[Max Relative Error (ep)]] = 0, 0, Audit[[#This Row],[Max Relative Error (ep)]]/Audit[[#This Row],[Error Bound (up) - Max. possible relative overstatement]])</f>
        <v>0</v>
      </c>
      <c r="BH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 s="114">
        <f t="shared" si="1"/>
        <v>1</v>
      </c>
      <c r="BJ16" s="114">
        <f>PRODUCT($BI$5:BI16)</f>
        <v>1</v>
      </c>
      <c r="BK16" s="112">
        <f>1 - Audit[[#This Row],[K-M P Value]]</f>
        <v>0</v>
      </c>
      <c r="BL16" s="114" t="str">
        <f>IF(Audit[[#This Row],[K-M P Value]]&gt;1-'General Info'!$B$12,"Continue", "Stop")</f>
        <v>Continue</v>
      </c>
      <c r="BM16" s="113" t="b">
        <f>IF(Audit[[#This Row],[Status - Continue or stop audit]] = "Continue", TRUE, IF(BL15 = "Continue", TRUE, FALSE))</f>
        <v>1</v>
      </c>
      <c r="BN16" s="113"/>
    </row>
    <row r="17" spans="1:66" ht="15" hidden="1" customHeight="1" x14ac:dyDescent="0.35">
      <c r="A17" s="114" t="str">
        <f>'Sampling Data'!AI17</f>
        <v/>
      </c>
      <c r="B17" s="114" t="str">
        <f>'Sampling Data'!A17</f>
        <v>0113 CIN 1-M   (AV)</v>
      </c>
      <c r="C17" s="114">
        <f>'Sampling Data'!B17</f>
        <v>23</v>
      </c>
      <c r="D17" s="114">
        <f>'Sampling Data'!C17</f>
        <v>7</v>
      </c>
      <c r="E17" s="115">
        <f>'Sampling Data'!D17</f>
        <v>4</v>
      </c>
      <c r="F17" s="115">
        <f>'Sampling Data'!E17</f>
        <v>0</v>
      </c>
      <c r="G17" s="115">
        <f>'Sampling Data'!F17</f>
        <v>0</v>
      </c>
      <c r="H17" s="115">
        <f>'Sampling Data'!G17</f>
        <v>0</v>
      </c>
      <c r="I17" s="115">
        <f>'Sampling Data'!H17</f>
        <v>0</v>
      </c>
      <c r="J17" s="115">
        <f>'Sampling Data'!I17</f>
        <v>0</v>
      </c>
      <c r="K17" s="115">
        <f>'Sampling Data'!J17</f>
        <v>0</v>
      </c>
      <c r="L17" s="115">
        <f>'Sampling Data'!K17</f>
        <v>0</v>
      </c>
      <c r="M17" s="115">
        <f>'Sampling Data'!L17</f>
        <v>0</v>
      </c>
      <c r="N17" s="115">
        <f>'Sampling Data'!M17</f>
        <v>0</v>
      </c>
      <c r="O17" s="114">
        <f>'Sampling Data'!N17</f>
        <v>0</v>
      </c>
      <c r="P17" s="114">
        <f>'Sampling Data'!O17</f>
        <v>0</v>
      </c>
      <c r="Q17" s="114">
        <f>'Sampling Data'!P17</f>
        <v>34</v>
      </c>
      <c r="R17" s="114">
        <f>'Sampling Data'!AJ17</f>
        <v>0</v>
      </c>
      <c r="S17" s="116"/>
      <c r="T17" s="116"/>
      <c r="U17" s="117"/>
      <c r="V17" s="117"/>
      <c r="W17" s="116"/>
      <c r="X17" s="116"/>
      <c r="Y17" s="116"/>
      <c r="Z17" s="116"/>
      <c r="AA17" s="15"/>
      <c r="AB17" s="15"/>
      <c r="AC17" s="15"/>
      <c r="AD17" s="15"/>
      <c r="AE17" s="118" t="str">
        <f>IF(NOT(ISBLANK(Audit[[#This Row],[Audit Winning Candidate]])), Audit[[#This Row],[Audit Winning Candidate]]-Audit[[#This Row],[Winning Candidate]], "")</f>
        <v/>
      </c>
      <c r="AF17" s="114" t="str">
        <f>IF(NOT(ISBLANK(Audit[[#This Row],[Audit Losing Candidate]])), Audit[[#This Row],[Audit Losing Candidate]]-Audit[[#This Row],[Losing Candidate]], "")</f>
        <v/>
      </c>
      <c r="AG17" s="114" t="str">
        <f>IF(NOT(ISBLANK(Audit[[#This Row],[Audit Candidate 3]])), Audit[[#This Row],[Audit Candidate 3]]-Audit[[#This Row],[Candidate 3]], "")</f>
        <v/>
      </c>
      <c r="AH17" s="114" t="str">
        <f>IF(NOT(ISBLANK(Audit[[#This Row],[Audit Candidate 4]])),Audit[[#This Row],[Audit Candidate 4]]-Audit[[#This Row],[Candidate 4]], "")</f>
        <v/>
      </c>
      <c r="AI17" s="114" t="str">
        <f>IF(NOT(ISBLANK(Audit[[#This Row],[Audit Candidate 5]])), Audit[[#This Row],[Audit Candidate 5]]-Audit[[#This Row],[Candidate 5]], "")</f>
        <v/>
      </c>
      <c r="AJ17" s="114" t="str">
        <f>IF(NOT(ISBLANK(Audit[[#This Row],[Audit Candidate 6]])), Audit[[#This Row],[Audit Candidate 6]]-Audit[[#This Row],[Candidate 6]], "")</f>
        <v/>
      </c>
      <c r="AK17" s="114" t="str">
        <f>IF(NOT(ISBLANK(Audit[[#This Row],[Audit Candidate 7]])), Audit[[#This Row],[Audit Candidate 7]]-Audit[[#This Row],[Candidate 7]], "")</f>
        <v/>
      </c>
      <c r="AL17" s="114" t="str">
        <f>IF(NOT(ISBLANK(Audit[[#This Row],[Audit Candidate 8]])), Audit[[#This Row],[Audit Candidate 8]]-Audit[[#This Row],[Candidate 8]], "")</f>
        <v/>
      </c>
      <c r="AM17" s="114" t="str">
        <f>IF(NOT(ISBLANK(Audit[[#This Row],[Audit Candidate 9]])), Audit[[#This Row],[Audit Candidate 9]]-Audit[[#This Row],[Candidate 9]], "")</f>
        <v/>
      </c>
      <c r="AN17" s="114" t="str">
        <f>IF(NOT(ISBLANK(Audit[[#This Row],[Audit Candidate 10]])), Audit[[#This Row],[Audit Candidate 10]]-Audit[[#This Row],[Candidate 10]], "")</f>
        <v/>
      </c>
      <c r="AO17" s="114" t="str">
        <f>IF(NOT(ISBLANK(Audit[[#This Row],[Audit Candidate 11]])), Audit[[#This Row],[Audit Candidate 11]]-Audit[[#This Row],[Candidate 11]], "")</f>
        <v/>
      </c>
      <c r="AP17" s="114" t="str">
        <f>IF(NOT(ISBLANK(Audit[[#This Row],[Audit Candidate 12]])), Audit[[#This Row],[Audit Candidate 12]]-Audit[[#This Row],[Candidate 12]], "")</f>
        <v/>
      </c>
      <c r="AQ17" s="114">
        <f>SUMIF(Audit[[#This Row],[Difference Winner]:[Difference Candidate 12]], "&gt;0")</f>
        <v>0</v>
      </c>
      <c r="AR17" s="114">
        <f>SUM(Audit[[#This Row],[Difference Winner]:[Difference Candidate 12]])</f>
        <v>0</v>
      </c>
      <c r="AS17" s="114">
        <f>IF(Audit[[#This Row],[Times p Drawn - With Replacement]]&gt;0, IF(Audit[[#This Row],[Canceled Differences]]&lt;0, Audit[[#This Row],[Max Differences]]+ABS(Audit[[#This Row],[Canceled Differences]]), Audit[[#This Row],[Max Differences]]), 0)</f>
        <v>0</v>
      </c>
      <c r="AT17" s="114">
        <f>'Sampling Data'!AB17</f>
        <v>3.1603564882118703E-3</v>
      </c>
      <c r="AU17" s="114">
        <f>IF(
      SUM(Audit[[#This Row],[Audit Losing Candidate]:[Audit Candidate 12]])
      &lt;&gt;0,
      (Audit[[#This Row],[Winning Candidate]]-Audit[[#This Row],[Losing Candidate]]-(Audit[[#This Row],[Audit Winning Candidate]]-Audit[[#This Row],[Audit Losing Candidate]]))/(Audit[[#Totals],[Winning Candidate]]-Audit[[#Totals],[Losing Candidate]]),
      0
)</f>
        <v>0</v>
      </c>
      <c r="AV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 s="114">
        <f>IF(Audit[[#This Row],[Max Relative Error (ep)]] = 0, 0, Audit[[#This Row],[Max Relative Error (ep)]]/Audit[[#This Row],[Error Bound (up) - Max. possible relative overstatement]])</f>
        <v>0</v>
      </c>
      <c r="BH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 s="114">
        <f t="shared" si="1"/>
        <v>1</v>
      </c>
      <c r="BJ17" s="114">
        <f>PRODUCT($BI$5:BI17)</f>
        <v>1</v>
      </c>
      <c r="BK17" s="112">
        <f>1 - Audit[[#This Row],[K-M P Value]]</f>
        <v>0</v>
      </c>
      <c r="BL17" s="114" t="str">
        <f>IF(Audit[[#This Row],[K-M P Value]]&gt;1-'General Info'!$B$12,"Continue", "Stop")</f>
        <v>Continue</v>
      </c>
      <c r="BM17" s="113" t="b">
        <f>IF(Audit[[#This Row],[Status - Continue or stop audit]] = "Continue", TRUE, IF(BL16 = "Continue", TRUE, FALSE))</f>
        <v>1</v>
      </c>
      <c r="BN17" s="113"/>
    </row>
    <row r="18" spans="1:66" ht="15" hidden="1" customHeight="1" x14ac:dyDescent="0.35">
      <c r="A18" s="114" t="str">
        <f>'Sampling Data'!AI18</f>
        <v/>
      </c>
      <c r="B18" s="114" t="str">
        <f>'Sampling Data'!A18</f>
        <v>0201 CIN 2-A   (AV)</v>
      </c>
      <c r="C18" s="114">
        <f>'Sampling Data'!B18</f>
        <v>36</v>
      </c>
      <c r="D18" s="114">
        <f>'Sampling Data'!C18</f>
        <v>4</v>
      </c>
      <c r="E18" s="115">
        <f>'Sampling Data'!D18</f>
        <v>5</v>
      </c>
      <c r="F18" s="115">
        <f>'Sampling Data'!E18</f>
        <v>0</v>
      </c>
      <c r="G18" s="115">
        <f>'Sampling Data'!F18</f>
        <v>0</v>
      </c>
      <c r="H18" s="115">
        <f>'Sampling Data'!G18</f>
        <v>0</v>
      </c>
      <c r="I18" s="115">
        <f>'Sampling Data'!H18</f>
        <v>0</v>
      </c>
      <c r="J18" s="115">
        <f>'Sampling Data'!I18</f>
        <v>0</v>
      </c>
      <c r="K18" s="115">
        <f>'Sampling Data'!J18</f>
        <v>0</v>
      </c>
      <c r="L18" s="115">
        <f>'Sampling Data'!K18</f>
        <v>0</v>
      </c>
      <c r="M18" s="115">
        <f>'Sampling Data'!L18</f>
        <v>0</v>
      </c>
      <c r="N18" s="115">
        <f>'Sampling Data'!M18</f>
        <v>0</v>
      </c>
      <c r="O18" s="114">
        <f>'Sampling Data'!N18</f>
        <v>0</v>
      </c>
      <c r="P18" s="114">
        <f>'Sampling Data'!O18</f>
        <v>1</v>
      </c>
      <c r="Q18" s="114">
        <f>'Sampling Data'!P18</f>
        <v>46</v>
      </c>
      <c r="R18" s="114">
        <f>'Sampling Data'!AJ18</f>
        <v>0</v>
      </c>
      <c r="S18" s="116"/>
      <c r="T18" s="116"/>
      <c r="U18" s="117"/>
      <c r="V18" s="117"/>
      <c r="W18" s="116"/>
      <c r="X18" s="116"/>
      <c r="Y18" s="116"/>
      <c r="Z18" s="116"/>
      <c r="AA18" s="15"/>
      <c r="AB18" s="15"/>
      <c r="AC18" s="15"/>
      <c r="AD18" s="15"/>
      <c r="AE18" s="118" t="str">
        <f>IF(NOT(ISBLANK(Audit[[#This Row],[Audit Winning Candidate]])), Audit[[#This Row],[Audit Winning Candidate]]-Audit[[#This Row],[Winning Candidate]], "")</f>
        <v/>
      </c>
      <c r="AF18" s="114" t="str">
        <f>IF(NOT(ISBLANK(Audit[[#This Row],[Audit Losing Candidate]])), Audit[[#This Row],[Audit Losing Candidate]]-Audit[[#This Row],[Losing Candidate]], "")</f>
        <v/>
      </c>
      <c r="AG18" s="114" t="str">
        <f>IF(NOT(ISBLANK(Audit[[#This Row],[Audit Candidate 3]])), Audit[[#This Row],[Audit Candidate 3]]-Audit[[#This Row],[Candidate 3]], "")</f>
        <v/>
      </c>
      <c r="AH18" s="114" t="str">
        <f>IF(NOT(ISBLANK(Audit[[#This Row],[Audit Candidate 4]])),Audit[[#This Row],[Audit Candidate 4]]-Audit[[#This Row],[Candidate 4]], "")</f>
        <v/>
      </c>
      <c r="AI18" s="114" t="str">
        <f>IF(NOT(ISBLANK(Audit[[#This Row],[Audit Candidate 5]])), Audit[[#This Row],[Audit Candidate 5]]-Audit[[#This Row],[Candidate 5]], "")</f>
        <v/>
      </c>
      <c r="AJ18" s="114" t="str">
        <f>IF(NOT(ISBLANK(Audit[[#This Row],[Audit Candidate 6]])), Audit[[#This Row],[Audit Candidate 6]]-Audit[[#This Row],[Candidate 6]], "")</f>
        <v/>
      </c>
      <c r="AK18" s="114" t="str">
        <f>IF(NOT(ISBLANK(Audit[[#This Row],[Audit Candidate 7]])), Audit[[#This Row],[Audit Candidate 7]]-Audit[[#This Row],[Candidate 7]], "")</f>
        <v/>
      </c>
      <c r="AL18" s="114" t="str">
        <f>IF(NOT(ISBLANK(Audit[[#This Row],[Audit Candidate 8]])), Audit[[#This Row],[Audit Candidate 8]]-Audit[[#This Row],[Candidate 8]], "")</f>
        <v/>
      </c>
      <c r="AM18" s="114" t="str">
        <f>IF(NOT(ISBLANK(Audit[[#This Row],[Audit Candidate 9]])), Audit[[#This Row],[Audit Candidate 9]]-Audit[[#This Row],[Candidate 9]], "")</f>
        <v/>
      </c>
      <c r="AN18" s="114" t="str">
        <f>IF(NOT(ISBLANK(Audit[[#This Row],[Audit Candidate 10]])), Audit[[#This Row],[Audit Candidate 10]]-Audit[[#This Row],[Candidate 10]], "")</f>
        <v/>
      </c>
      <c r="AO18" s="114" t="str">
        <f>IF(NOT(ISBLANK(Audit[[#This Row],[Audit Candidate 11]])), Audit[[#This Row],[Audit Candidate 11]]-Audit[[#This Row],[Candidate 11]], "")</f>
        <v/>
      </c>
      <c r="AP18" s="114" t="str">
        <f>IF(NOT(ISBLANK(Audit[[#This Row],[Audit Candidate 12]])), Audit[[#This Row],[Audit Candidate 12]]-Audit[[#This Row],[Candidate 12]], "")</f>
        <v/>
      </c>
      <c r="AQ18" s="114">
        <f>SUMIF(Audit[[#This Row],[Difference Winner]:[Difference Candidate 12]], "&gt;0")</f>
        <v>0</v>
      </c>
      <c r="AR18" s="114">
        <f>SUM(Audit[[#This Row],[Difference Winner]:[Difference Candidate 12]])</f>
        <v>0</v>
      </c>
      <c r="AS18" s="114">
        <f>IF(Audit[[#This Row],[Times p Drawn - With Replacement]]&gt;0, IF(Audit[[#This Row],[Canceled Differences]]&lt;0, Audit[[#This Row],[Max Differences]]+ABS(Audit[[#This Row],[Canceled Differences]]), Audit[[#This Row],[Max Differences]]), 0)</f>
        <v>0</v>
      </c>
      <c r="AT18" s="114">
        <f>'Sampling Data'!AB18</f>
        <v>4.9301561216105174E-3</v>
      </c>
      <c r="AU18" s="114">
        <f>IF(
      SUM(Audit[[#This Row],[Audit Losing Candidate]:[Audit Candidate 12]])
      &lt;&gt;0,
      (Audit[[#This Row],[Winning Candidate]]-Audit[[#This Row],[Losing Candidate]]-(Audit[[#This Row],[Audit Winning Candidate]]-Audit[[#This Row],[Audit Losing Candidate]]))/(Audit[[#Totals],[Winning Candidate]]-Audit[[#Totals],[Losing Candidate]]),
      0
)</f>
        <v>0</v>
      </c>
      <c r="AV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 s="114">
        <f>IF(Audit[[#This Row],[Max Relative Error (ep)]] = 0, 0, Audit[[#This Row],[Max Relative Error (ep)]]/Audit[[#This Row],[Error Bound (up) - Max. possible relative overstatement]])</f>
        <v>0</v>
      </c>
      <c r="BH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 s="114">
        <f t="shared" si="1"/>
        <v>1</v>
      </c>
      <c r="BJ18" s="114">
        <f>PRODUCT($BI$5:BI18)</f>
        <v>1</v>
      </c>
      <c r="BK18" s="112">
        <f>1 - Audit[[#This Row],[K-M P Value]]</f>
        <v>0</v>
      </c>
      <c r="BL18" s="114" t="str">
        <f>IF(Audit[[#This Row],[K-M P Value]]&gt;1-'General Info'!$B$12,"Continue", "Stop")</f>
        <v>Continue</v>
      </c>
      <c r="BM18" s="113" t="b">
        <f>IF(Audit[[#This Row],[Status - Continue or stop audit]] = "Continue", TRUE, IF(BL17 = "Continue", TRUE, FALSE))</f>
        <v>1</v>
      </c>
      <c r="BN18" s="113"/>
    </row>
    <row r="19" spans="1:66" ht="15" hidden="1" customHeight="1" x14ac:dyDescent="0.35">
      <c r="A19" s="114" t="str">
        <f>'Sampling Data'!AI19</f>
        <v/>
      </c>
      <c r="B19" s="114" t="str">
        <f>'Sampling Data'!A19</f>
        <v>0202 CIN 2-B   (AV)</v>
      </c>
      <c r="C19" s="114">
        <f>'Sampling Data'!B19</f>
        <v>51</v>
      </c>
      <c r="D19" s="114">
        <f>'Sampling Data'!C19</f>
        <v>16</v>
      </c>
      <c r="E19" s="115">
        <f>'Sampling Data'!D19</f>
        <v>6</v>
      </c>
      <c r="F19" s="115">
        <f>'Sampling Data'!E19</f>
        <v>0</v>
      </c>
      <c r="G19" s="115">
        <f>'Sampling Data'!F19</f>
        <v>0</v>
      </c>
      <c r="H19" s="115">
        <f>'Sampling Data'!G19</f>
        <v>0</v>
      </c>
      <c r="I19" s="115">
        <f>'Sampling Data'!H19</f>
        <v>0</v>
      </c>
      <c r="J19" s="115">
        <f>'Sampling Data'!I19</f>
        <v>0</v>
      </c>
      <c r="K19" s="115">
        <f>'Sampling Data'!J19</f>
        <v>0</v>
      </c>
      <c r="L19" s="115">
        <f>'Sampling Data'!K19</f>
        <v>0</v>
      </c>
      <c r="M19" s="115">
        <f>'Sampling Data'!L19</f>
        <v>0</v>
      </c>
      <c r="N19" s="115">
        <f>'Sampling Data'!M19</f>
        <v>0</v>
      </c>
      <c r="O19" s="114">
        <f>'Sampling Data'!N19</f>
        <v>0</v>
      </c>
      <c r="P19" s="114">
        <f>'Sampling Data'!O19</f>
        <v>1</v>
      </c>
      <c r="Q19" s="114">
        <f>'Sampling Data'!P19</f>
        <v>74</v>
      </c>
      <c r="R19" s="114">
        <f>'Sampling Data'!AJ19</f>
        <v>0</v>
      </c>
      <c r="S19" s="116"/>
      <c r="T19" s="116"/>
      <c r="U19" s="117"/>
      <c r="V19" s="117"/>
      <c r="W19" s="116"/>
      <c r="X19" s="116"/>
      <c r="Y19" s="116"/>
      <c r="Z19" s="116"/>
      <c r="AA19" s="15"/>
      <c r="AB19" s="15"/>
      <c r="AC19" s="15"/>
      <c r="AD19" s="15"/>
      <c r="AE19" s="118" t="str">
        <f>IF(NOT(ISBLANK(Audit[[#This Row],[Audit Winning Candidate]])), Audit[[#This Row],[Audit Winning Candidate]]-Audit[[#This Row],[Winning Candidate]], "")</f>
        <v/>
      </c>
      <c r="AF19" s="114" t="str">
        <f>IF(NOT(ISBLANK(Audit[[#This Row],[Audit Losing Candidate]])), Audit[[#This Row],[Audit Losing Candidate]]-Audit[[#This Row],[Losing Candidate]], "")</f>
        <v/>
      </c>
      <c r="AG19" s="114" t="str">
        <f>IF(NOT(ISBLANK(Audit[[#This Row],[Audit Candidate 3]])), Audit[[#This Row],[Audit Candidate 3]]-Audit[[#This Row],[Candidate 3]], "")</f>
        <v/>
      </c>
      <c r="AH19" s="114" t="str">
        <f>IF(NOT(ISBLANK(Audit[[#This Row],[Audit Candidate 4]])),Audit[[#This Row],[Audit Candidate 4]]-Audit[[#This Row],[Candidate 4]], "")</f>
        <v/>
      </c>
      <c r="AI19" s="114" t="str">
        <f>IF(NOT(ISBLANK(Audit[[#This Row],[Audit Candidate 5]])), Audit[[#This Row],[Audit Candidate 5]]-Audit[[#This Row],[Candidate 5]], "")</f>
        <v/>
      </c>
      <c r="AJ19" s="114" t="str">
        <f>IF(NOT(ISBLANK(Audit[[#This Row],[Audit Candidate 6]])), Audit[[#This Row],[Audit Candidate 6]]-Audit[[#This Row],[Candidate 6]], "")</f>
        <v/>
      </c>
      <c r="AK19" s="114" t="str">
        <f>IF(NOT(ISBLANK(Audit[[#This Row],[Audit Candidate 7]])), Audit[[#This Row],[Audit Candidate 7]]-Audit[[#This Row],[Candidate 7]], "")</f>
        <v/>
      </c>
      <c r="AL19" s="114" t="str">
        <f>IF(NOT(ISBLANK(Audit[[#This Row],[Audit Candidate 8]])), Audit[[#This Row],[Audit Candidate 8]]-Audit[[#This Row],[Candidate 8]], "")</f>
        <v/>
      </c>
      <c r="AM19" s="114" t="str">
        <f>IF(NOT(ISBLANK(Audit[[#This Row],[Audit Candidate 9]])), Audit[[#This Row],[Audit Candidate 9]]-Audit[[#This Row],[Candidate 9]], "")</f>
        <v/>
      </c>
      <c r="AN19" s="114" t="str">
        <f>IF(NOT(ISBLANK(Audit[[#This Row],[Audit Candidate 10]])), Audit[[#This Row],[Audit Candidate 10]]-Audit[[#This Row],[Candidate 10]], "")</f>
        <v/>
      </c>
      <c r="AO19" s="114" t="str">
        <f>IF(NOT(ISBLANK(Audit[[#This Row],[Audit Candidate 11]])), Audit[[#This Row],[Audit Candidate 11]]-Audit[[#This Row],[Candidate 11]], "")</f>
        <v/>
      </c>
      <c r="AP19" s="114" t="str">
        <f>IF(NOT(ISBLANK(Audit[[#This Row],[Audit Candidate 12]])), Audit[[#This Row],[Audit Candidate 12]]-Audit[[#This Row],[Candidate 12]], "")</f>
        <v/>
      </c>
      <c r="AQ19" s="114">
        <f>SUMIF(Audit[[#This Row],[Difference Winner]:[Difference Candidate 12]], "&gt;0")</f>
        <v>0</v>
      </c>
      <c r="AR19" s="114">
        <f>SUM(Audit[[#This Row],[Difference Winner]:[Difference Candidate 12]])</f>
        <v>0</v>
      </c>
      <c r="AS19" s="114">
        <f>IF(Audit[[#This Row],[Times p Drawn - With Replacement]]&gt;0, IF(Audit[[#This Row],[Canceled Differences]]&lt;0, Audit[[#This Row],[Max Differences]]+ABS(Audit[[#This Row],[Canceled Differences]]), Audit[[#This Row],[Max Differences]]), 0)</f>
        <v>0</v>
      </c>
      <c r="AT19" s="114">
        <f>'Sampling Data'!AB19</f>
        <v>6.8895771443018769E-3</v>
      </c>
      <c r="AU19" s="114">
        <f>IF(
      SUM(Audit[[#This Row],[Audit Losing Candidate]:[Audit Candidate 12]])
      &lt;&gt;0,
      (Audit[[#This Row],[Winning Candidate]]-Audit[[#This Row],[Losing Candidate]]-(Audit[[#This Row],[Audit Winning Candidate]]-Audit[[#This Row],[Audit Losing Candidate]]))/(Audit[[#Totals],[Winning Candidate]]-Audit[[#Totals],[Losing Candidate]]),
      0
)</f>
        <v>0</v>
      </c>
      <c r="AV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 s="114">
        <f>IF(Audit[[#This Row],[Max Relative Error (ep)]] = 0, 0, Audit[[#This Row],[Max Relative Error (ep)]]/Audit[[#This Row],[Error Bound (up) - Max. possible relative overstatement]])</f>
        <v>0</v>
      </c>
      <c r="BH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 s="114">
        <f t="shared" si="1"/>
        <v>1</v>
      </c>
      <c r="BJ19" s="114">
        <f>PRODUCT($BI$5:BI19)</f>
        <v>1</v>
      </c>
      <c r="BK19" s="112">
        <f>1 - Audit[[#This Row],[K-M P Value]]</f>
        <v>0</v>
      </c>
      <c r="BL19" s="114" t="str">
        <f>IF(Audit[[#This Row],[K-M P Value]]&gt;1-'General Info'!$B$12,"Continue", "Stop")</f>
        <v>Continue</v>
      </c>
      <c r="BM19" s="113" t="b">
        <f>IF(Audit[[#This Row],[Status - Continue or stop audit]] = "Continue", TRUE, IF(BL18 = "Continue", TRUE, FALSE))</f>
        <v>1</v>
      </c>
      <c r="BN19" s="113"/>
    </row>
    <row r="20" spans="1:66" ht="15" hidden="1" customHeight="1" x14ac:dyDescent="0.35">
      <c r="A20" s="114" t="str">
        <f>'Sampling Data'!AI20</f>
        <v/>
      </c>
      <c r="B20" s="114" t="str">
        <f>'Sampling Data'!A20</f>
        <v>0203 CIN 2-C   (AV)</v>
      </c>
      <c r="C20" s="114">
        <f>'Sampling Data'!B20</f>
        <v>14</v>
      </c>
      <c r="D20" s="114">
        <f>'Sampling Data'!C20</f>
        <v>3</v>
      </c>
      <c r="E20" s="115">
        <f>'Sampling Data'!D20</f>
        <v>0</v>
      </c>
      <c r="F20" s="115">
        <f>'Sampling Data'!E20</f>
        <v>0</v>
      </c>
      <c r="G20" s="115">
        <f>'Sampling Data'!F20</f>
        <v>0</v>
      </c>
      <c r="H20" s="115">
        <f>'Sampling Data'!G20</f>
        <v>0</v>
      </c>
      <c r="I20" s="115">
        <f>'Sampling Data'!H20</f>
        <v>0</v>
      </c>
      <c r="J20" s="115">
        <f>'Sampling Data'!I20</f>
        <v>0</v>
      </c>
      <c r="K20" s="115">
        <f>'Sampling Data'!J20</f>
        <v>0</v>
      </c>
      <c r="L20" s="115">
        <f>'Sampling Data'!K20</f>
        <v>0</v>
      </c>
      <c r="M20" s="115">
        <f>'Sampling Data'!L20</f>
        <v>0</v>
      </c>
      <c r="N20" s="115">
        <f>'Sampling Data'!M20</f>
        <v>0</v>
      </c>
      <c r="O20" s="114">
        <f>'Sampling Data'!N20</f>
        <v>0</v>
      </c>
      <c r="P20" s="114">
        <f>'Sampling Data'!O20</f>
        <v>0</v>
      </c>
      <c r="Q20" s="114">
        <f>'Sampling Data'!P20</f>
        <v>17</v>
      </c>
      <c r="R20" s="114">
        <f>'Sampling Data'!AJ20</f>
        <v>0</v>
      </c>
      <c r="S20" s="116"/>
      <c r="T20" s="116"/>
      <c r="U20" s="117"/>
      <c r="V20" s="117"/>
      <c r="W20" s="116"/>
      <c r="X20" s="116"/>
      <c r="Y20" s="116"/>
      <c r="Z20" s="116"/>
      <c r="AA20" s="15"/>
      <c r="AB20" s="15"/>
      <c r="AC20" s="15"/>
      <c r="AD20" s="15"/>
      <c r="AE20" s="118" t="str">
        <f>IF(NOT(ISBLANK(Audit[[#This Row],[Audit Winning Candidate]])), Audit[[#This Row],[Audit Winning Candidate]]-Audit[[#This Row],[Winning Candidate]], "")</f>
        <v/>
      </c>
      <c r="AF20" s="114" t="str">
        <f>IF(NOT(ISBLANK(Audit[[#This Row],[Audit Losing Candidate]])), Audit[[#This Row],[Audit Losing Candidate]]-Audit[[#This Row],[Losing Candidate]], "")</f>
        <v/>
      </c>
      <c r="AG20" s="114" t="str">
        <f>IF(NOT(ISBLANK(Audit[[#This Row],[Audit Candidate 3]])), Audit[[#This Row],[Audit Candidate 3]]-Audit[[#This Row],[Candidate 3]], "")</f>
        <v/>
      </c>
      <c r="AH20" s="114" t="str">
        <f>IF(NOT(ISBLANK(Audit[[#This Row],[Audit Candidate 4]])),Audit[[#This Row],[Audit Candidate 4]]-Audit[[#This Row],[Candidate 4]], "")</f>
        <v/>
      </c>
      <c r="AI20" s="114" t="str">
        <f>IF(NOT(ISBLANK(Audit[[#This Row],[Audit Candidate 5]])), Audit[[#This Row],[Audit Candidate 5]]-Audit[[#This Row],[Candidate 5]], "")</f>
        <v/>
      </c>
      <c r="AJ20" s="114" t="str">
        <f>IF(NOT(ISBLANK(Audit[[#This Row],[Audit Candidate 6]])), Audit[[#This Row],[Audit Candidate 6]]-Audit[[#This Row],[Candidate 6]], "")</f>
        <v/>
      </c>
      <c r="AK20" s="114" t="str">
        <f>IF(NOT(ISBLANK(Audit[[#This Row],[Audit Candidate 7]])), Audit[[#This Row],[Audit Candidate 7]]-Audit[[#This Row],[Candidate 7]], "")</f>
        <v/>
      </c>
      <c r="AL20" s="114" t="str">
        <f>IF(NOT(ISBLANK(Audit[[#This Row],[Audit Candidate 8]])), Audit[[#This Row],[Audit Candidate 8]]-Audit[[#This Row],[Candidate 8]], "")</f>
        <v/>
      </c>
      <c r="AM20" s="114" t="str">
        <f>IF(NOT(ISBLANK(Audit[[#This Row],[Audit Candidate 9]])), Audit[[#This Row],[Audit Candidate 9]]-Audit[[#This Row],[Candidate 9]], "")</f>
        <v/>
      </c>
      <c r="AN20" s="114" t="str">
        <f>IF(NOT(ISBLANK(Audit[[#This Row],[Audit Candidate 10]])), Audit[[#This Row],[Audit Candidate 10]]-Audit[[#This Row],[Candidate 10]], "")</f>
        <v/>
      </c>
      <c r="AO20" s="114" t="str">
        <f>IF(NOT(ISBLANK(Audit[[#This Row],[Audit Candidate 11]])), Audit[[#This Row],[Audit Candidate 11]]-Audit[[#This Row],[Candidate 11]], "")</f>
        <v/>
      </c>
      <c r="AP20" s="114" t="str">
        <f>IF(NOT(ISBLANK(Audit[[#This Row],[Audit Candidate 12]])), Audit[[#This Row],[Audit Candidate 12]]-Audit[[#This Row],[Candidate 12]], "")</f>
        <v/>
      </c>
      <c r="AQ20" s="114">
        <f>SUMIF(Audit[[#This Row],[Difference Winner]:[Difference Candidate 12]], "&gt;0")</f>
        <v>0</v>
      </c>
      <c r="AR20" s="114">
        <f>SUM(Audit[[#This Row],[Difference Winner]:[Difference Candidate 12]])</f>
        <v>0</v>
      </c>
      <c r="AS20" s="114">
        <f>IF(Audit[[#This Row],[Times p Drawn - With Replacement]]&gt;0, IF(Audit[[#This Row],[Canceled Differences]]&lt;0, Audit[[#This Row],[Max Differences]]+ABS(Audit[[#This Row],[Canceled Differences]]), Audit[[#This Row],[Max Differences]]), 0)</f>
        <v>0</v>
      </c>
      <c r="AT20" s="114">
        <f>'Sampling Data'!AB20</f>
        <v>1.7697996333986474E-3</v>
      </c>
      <c r="AU20" s="114">
        <f>IF(
      SUM(Audit[[#This Row],[Audit Losing Candidate]:[Audit Candidate 12]])
      &lt;&gt;0,
      (Audit[[#This Row],[Winning Candidate]]-Audit[[#This Row],[Losing Candidate]]-(Audit[[#This Row],[Audit Winning Candidate]]-Audit[[#This Row],[Audit Losing Candidate]]))/(Audit[[#Totals],[Winning Candidate]]-Audit[[#Totals],[Losing Candidate]]),
      0
)</f>
        <v>0</v>
      </c>
      <c r="AV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 s="114">
        <f>IF(Audit[[#This Row],[Max Relative Error (ep)]] = 0, 0, Audit[[#This Row],[Max Relative Error (ep)]]/Audit[[#This Row],[Error Bound (up) - Max. possible relative overstatement]])</f>
        <v>0</v>
      </c>
      <c r="BH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 s="114">
        <f t="shared" si="1"/>
        <v>1</v>
      </c>
      <c r="BJ20" s="114">
        <f>PRODUCT($BI$5:BI20)</f>
        <v>1</v>
      </c>
      <c r="BK20" s="112">
        <f>1 - Audit[[#This Row],[K-M P Value]]</f>
        <v>0</v>
      </c>
      <c r="BL20" s="114" t="str">
        <f>IF(Audit[[#This Row],[K-M P Value]]&gt;1-'General Info'!$B$12,"Continue", "Stop")</f>
        <v>Continue</v>
      </c>
      <c r="BM20" s="113" t="b">
        <f>IF(Audit[[#This Row],[Status - Continue or stop audit]] = "Continue", TRUE, IF(BL19 = "Continue", TRUE, FALSE))</f>
        <v>1</v>
      </c>
      <c r="BN20" s="113"/>
    </row>
    <row r="21" spans="1:66" ht="15" hidden="1" customHeight="1" x14ac:dyDescent="0.35">
      <c r="A21" s="114" t="str">
        <f>'Sampling Data'!AI21</f>
        <v/>
      </c>
      <c r="B21" s="114" t="str">
        <f>'Sampling Data'!A21</f>
        <v>0204 CIN 2-D   (AV)</v>
      </c>
      <c r="C21" s="114">
        <f>'Sampling Data'!B21</f>
        <v>29</v>
      </c>
      <c r="D21" s="114">
        <f>'Sampling Data'!C21</f>
        <v>6</v>
      </c>
      <c r="E21" s="115">
        <f>'Sampling Data'!D21</f>
        <v>3</v>
      </c>
      <c r="F21" s="115">
        <f>'Sampling Data'!E21</f>
        <v>0</v>
      </c>
      <c r="G21" s="115">
        <f>'Sampling Data'!F21</f>
        <v>0</v>
      </c>
      <c r="H21" s="115">
        <f>'Sampling Data'!G21</f>
        <v>0</v>
      </c>
      <c r="I21" s="115">
        <f>'Sampling Data'!H21</f>
        <v>0</v>
      </c>
      <c r="J21" s="115">
        <f>'Sampling Data'!I21</f>
        <v>0</v>
      </c>
      <c r="K21" s="115">
        <f>'Sampling Data'!J21</f>
        <v>0</v>
      </c>
      <c r="L21" s="115">
        <f>'Sampling Data'!K21</f>
        <v>0</v>
      </c>
      <c r="M21" s="115">
        <f>'Sampling Data'!L21</f>
        <v>0</v>
      </c>
      <c r="N21" s="115">
        <f>'Sampling Data'!M21</f>
        <v>0</v>
      </c>
      <c r="O21" s="114">
        <f>'Sampling Data'!N21</f>
        <v>0</v>
      </c>
      <c r="P21" s="114">
        <f>'Sampling Data'!O21</f>
        <v>0</v>
      </c>
      <c r="Q21" s="114">
        <f>'Sampling Data'!P21</f>
        <v>38</v>
      </c>
      <c r="R21" s="114">
        <f>'Sampling Data'!AJ21</f>
        <v>0</v>
      </c>
      <c r="S21" s="116"/>
      <c r="T21" s="116"/>
      <c r="U21" s="117"/>
      <c r="V21" s="117"/>
      <c r="W21" s="116"/>
      <c r="X21" s="116"/>
      <c r="Y21" s="116"/>
      <c r="Z21" s="116"/>
      <c r="AA21" s="15"/>
      <c r="AB21" s="15"/>
      <c r="AC21" s="15"/>
      <c r="AD21" s="15"/>
      <c r="AE21" s="118" t="str">
        <f>IF(NOT(ISBLANK(Audit[[#This Row],[Audit Winning Candidate]])), Audit[[#This Row],[Audit Winning Candidate]]-Audit[[#This Row],[Winning Candidate]], "")</f>
        <v/>
      </c>
      <c r="AF21" s="114" t="str">
        <f>IF(NOT(ISBLANK(Audit[[#This Row],[Audit Losing Candidate]])), Audit[[#This Row],[Audit Losing Candidate]]-Audit[[#This Row],[Losing Candidate]], "")</f>
        <v/>
      </c>
      <c r="AG21" s="114" t="str">
        <f>IF(NOT(ISBLANK(Audit[[#This Row],[Audit Candidate 3]])), Audit[[#This Row],[Audit Candidate 3]]-Audit[[#This Row],[Candidate 3]], "")</f>
        <v/>
      </c>
      <c r="AH21" s="114" t="str">
        <f>IF(NOT(ISBLANK(Audit[[#This Row],[Audit Candidate 4]])),Audit[[#This Row],[Audit Candidate 4]]-Audit[[#This Row],[Candidate 4]], "")</f>
        <v/>
      </c>
      <c r="AI21" s="114" t="str">
        <f>IF(NOT(ISBLANK(Audit[[#This Row],[Audit Candidate 5]])), Audit[[#This Row],[Audit Candidate 5]]-Audit[[#This Row],[Candidate 5]], "")</f>
        <v/>
      </c>
      <c r="AJ21" s="114" t="str">
        <f>IF(NOT(ISBLANK(Audit[[#This Row],[Audit Candidate 6]])), Audit[[#This Row],[Audit Candidate 6]]-Audit[[#This Row],[Candidate 6]], "")</f>
        <v/>
      </c>
      <c r="AK21" s="114" t="str">
        <f>IF(NOT(ISBLANK(Audit[[#This Row],[Audit Candidate 7]])), Audit[[#This Row],[Audit Candidate 7]]-Audit[[#This Row],[Candidate 7]], "")</f>
        <v/>
      </c>
      <c r="AL21" s="114" t="str">
        <f>IF(NOT(ISBLANK(Audit[[#This Row],[Audit Candidate 8]])), Audit[[#This Row],[Audit Candidate 8]]-Audit[[#This Row],[Candidate 8]], "")</f>
        <v/>
      </c>
      <c r="AM21" s="114" t="str">
        <f>IF(NOT(ISBLANK(Audit[[#This Row],[Audit Candidate 9]])), Audit[[#This Row],[Audit Candidate 9]]-Audit[[#This Row],[Candidate 9]], "")</f>
        <v/>
      </c>
      <c r="AN21" s="114" t="str">
        <f>IF(NOT(ISBLANK(Audit[[#This Row],[Audit Candidate 10]])), Audit[[#This Row],[Audit Candidate 10]]-Audit[[#This Row],[Candidate 10]], "")</f>
        <v/>
      </c>
      <c r="AO21" s="114" t="str">
        <f>IF(NOT(ISBLANK(Audit[[#This Row],[Audit Candidate 11]])), Audit[[#This Row],[Audit Candidate 11]]-Audit[[#This Row],[Candidate 11]], "")</f>
        <v/>
      </c>
      <c r="AP21" s="114" t="str">
        <f>IF(NOT(ISBLANK(Audit[[#This Row],[Audit Candidate 12]])), Audit[[#This Row],[Audit Candidate 12]]-Audit[[#This Row],[Candidate 12]], "")</f>
        <v/>
      </c>
      <c r="AQ21" s="114">
        <f>SUMIF(Audit[[#This Row],[Difference Winner]:[Difference Candidate 12]], "&gt;0")</f>
        <v>0</v>
      </c>
      <c r="AR21" s="114">
        <f>SUM(Audit[[#This Row],[Difference Winner]:[Difference Candidate 12]])</f>
        <v>0</v>
      </c>
      <c r="AS21" s="114">
        <f>IF(Audit[[#This Row],[Times p Drawn - With Replacement]]&gt;0, IF(Audit[[#This Row],[Canceled Differences]]&lt;0, Audit[[#This Row],[Max Differences]]+ABS(Audit[[#This Row],[Canceled Differences]]), Audit[[#This Row],[Max Differences]]), 0)</f>
        <v>0</v>
      </c>
      <c r="AT21" s="114">
        <f>'Sampling Data'!AB21</f>
        <v>3.8556349156184818E-3</v>
      </c>
      <c r="AU21" s="114">
        <f>IF(
      SUM(Audit[[#This Row],[Audit Losing Candidate]:[Audit Candidate 12]])
      &lt;&gt;0,
      (Audit[[#This Row],[Winning Candidate]]-Audit[[#This Row],[Losing Candidate]]-(Audit[[#This Row],[Audit Winning Candidate]]-Audit[[#This Row],[Audit Losing Candidate]]))/(Audit[[#Totals],[Winning Candidate]]-Audit[[#Totals],[Losing Candidate]]),
      0
)</f>
        <v>0</v>
      </c>
      <c r="AV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 s="114">
        <f>IF(Audit[[#This Row],[Max Relative Error (ep)]] = 0, 0, Audit[[#This Row],[Max Relative Error (ep)]]/Audit[[#This Row],[Error Bound (up) - Max. possible relative overstatement]])</f>
        <v>0</v>
      </c>
      <c r="BH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 s="114">
        <f t="shared" si="1"/>
        <v>1</v>
      </c>
      <c r="BJ21" s="114">
        <f>PRODUCT($BI$5:BI21)</f>
        <v>1</v>
      </c>
      <c r="BK21" s="112">
        <f>1 - Audit[[#This Row],[K-M P Value]]</f>
        <v>0</v>
      </c>
      <c r="BL21" s="114" t="str">
        <f>IF(Audit[[#This Row],[K-M P Value]]&gt;1-'General Info'!$B$12,"Continue", "Stop")</f>
        <v>Continue</v>
      </c>
      <c r="BM21" s="113" t="b">
        <f>IF(Audit[[#This Row],[Status - Continue or stop audit]] = "Continue", TRUE, IF(BL20 = "Continue", TRUE, FALSE))</f>
        <v>1</v>
      </c>
      <c r="BN21" s="113"/>
    </row>
    <row r="22" spans="1:66" ht="15" hidden="1" customHeight="1" x14ac:dyDescent="0.35">
      <c r="A22" s="114" t="str">
        <f>'Sampling Data'!AI22</f>
        <v/>
      </c>
      <c r="B22" s="114" t="str">
        <f>'Sampling Data'!A22</f>
        <v>0205 CIN 2-E   (AV)</v>
      </c>
      <c r="C22" s="114">
        <f>'Sampling Data'!B22</f>
        <v>39</v>
      </c>
      <c r="D22" s="114">
        <f>'Sampling Data'!C22</f>
        <v>11</v>
      </c>
      <c r="E22" s="115">
        <f>'Sampling Data'!D22</f>
        <v>13</v>
      </c>
      <c r="F22" s="115">
        <f>'Sampling Data'!E22</f>
        <v>0</v>
      </c>
      <c r="G22" s="115">
        <f>'Sampling Data'!F22</f>
        <v>0</v>
      </c>
      <c r="H22" s="115">
        <f>'Sampling Data'!G22</f>
        <v>0</v>
      </c>
      <c r="I22" s="115">
        <f>'Sampling Data'!H22</f>
        <v>0</v>
      </c>
      <c r="J22" s="115">
        <f>'Sampling Data'!I22</f>
        <v>0</v>
      </c>
      <c r="K22" s="115">
        <f>'Sampling Data'!J22</f>
        <v>0</v>
      </c>
      <c r="L22" s="115">
        <f>'Sampling Data'!K22</f>
        <v>0</v>
      </c>
      <c r="M22" s="115">
        <f>'Sampling Data'!L22</f>
        <v>0</v>
      </c>
      <c r="N22" s="115">
        <f>'Sampling Data'!M22</f>
        <v>0</v>
      </c>
      <c r="O22" s="114">
        <f>'Sampling Data'!N22</f>
        <v>0</v>
      </c>
      <c r="P22" s="114">
        <f>'Sampling Data'!O22</f>
        <v>0</v>
      </c>
      <c r="Q22" s="114">
        <f>'Sampling Data'!P22</f>
        <v>63</v>
      </c>
      <c r="R22" s="114">
        <f>'Sampling Data'!AJ22</f>
        <v>0</v>
      </c>
      <c r="S22" s="116"/>
      <c r="T22" s="116"/>
      <c r="U22" s="117"/>
      <c r="V22" s="117"/>
      <c r="W22" s="116"/>
      <c r="X22" s="116"/>
      <c r="Y22" s="116"/>
      <c r="Z22" s="116"/>
      <c r="AA22" s="15"/>
      <c r="AB22" s="15"/>
      <c r="AC22" s="15"/>
      <c r="AD22" s="15"/>
      <c r="AE22" s="118" t="str">
        <f>IF(NOT(ISBLANK(Audit[[#This Row],[Audit Winning Candidate]])), Audit[[#This Row],[Audit Winning Candidate]]-Audit[[#This Row],[Winning Candidate]], "")</f>
        <v/>
      </c>
      <c r="AF22" s="114" t="str">
        <f>IF(NOT(ISBLANK(Audit[[#This Row],[Audit Losing Candidate]])), Audit[[#This Row],[Audit Losing Candidate]]-Audit[[#This Row],[Losing Candidate]], "")</f>
        <v/>
      </c>
      <c r="AG22" s="114" t="str">
        <f>IF(NOT(ISBLANK(Audit[[#This Row],[Audit Candidate 3]])), Audit[[#This Row],[Audit Candidate 3]]-Audit[[#This Row],[Candidate 3]], "")</f>
        <v/>
      </c>
      <c r="AH22" s="114" t="str">
        <f>IF(NOT(ISBLANK(Audit[[#This Row],[Audit Candidate 4]])),Audit[[#This Row],[Audit Candidate 4]]-Audit[[#This Row],[Candidate 4]], "")</f>
        <v/>
      </c>
      <c r="AI22" s="114" t="str">
        <f>IF(NOT(ISBLANK(Audit[[#This Row],[Audit Candidate 5]])), Audit[[#This Row],[Audit Candidate 5]]-Audit[[#This Row],[Candidate 5]], "")</f>
        <v/>
      </c>
      <c r="AJ22" s="114" t="str">
        <f>IF(NOT(ISBLANK(Audit[[#This Row],[Audit Candidate 6]])), Audit[[#This Row],[Audit Candidate 6]]-Audit[[#This Row],[Candidate 6]], "")</f>
        <v/>
      </c>
      <c r="AK22" s="114" t="str">
        <f>IF(NOT(ISBLANK(Audit[[#This Row],[Audit Candidate 7]])), Audit[[#This Row],[Audit Candidate 7]]-Audit[[#This Row],[Candidate 7]], "")</f>
        <v/>
      </c>
      <c r="AL22" s="114" t="str">
        <f>IF(NOT(ISBLANK(Audit[[#This Row],[Audit Candidate 8]])), Audit[[#This Row],[Audit Candidate 8]]-Audit[[#This Row],[Candidate 8]], "")</f>
        <v/>
      </c>
      <c r="AM22" s="114" t="str">
        <f>IF(NOT(ISBLANK(Audit[[#This Row],[Audit Candidate 9]])), Audit[[#This Row],[Audit Candidate 9]]-Audit[[#This Row],[Candidate 9]], "")</f>
        <v/>
      </c>
      <c r="AN22" s="114" t="str">
        <f>IF(NOT(ISBLANK(Audit[[#This Row],[Audit Candidate 10]])), Audit[[#This Row],[Audit Candidate 10]]-Audit[[#This Row],[Candidate 10]], "")</f>
        <v/>
      </c>
      <c r="AO22" s="114" t="str">
        <f>IF(NOT(ISBLANK(Audit[[#This Row],[Audit Candidate 11]])), Audit[[#This Row],[Audit Candidate 11]]-Audit[[#This Row],[Candidate 11]], "")</f>
        <v/>
      </c>
      <c r="AP22" s="114" t="str">
        <f>IF(NOT(ISBLANK(Audit[[#This Row],[Audit Candidate 12]])), Audit[[#This Row],[Audit Candidate 12]]-Audit[[#This Row],[Candidate 12]], "")</f>
        <v/>
      </c>
      <c r="AQ22" s="114">
        <f>SUMIF(Audit[[#This Row],[Difference Winner]:[Difference Candidate 12]], "&gt;0")</f>
        <v>0</v>
      </c>
      <c r="AR22" s="114">
        <f>SUM(Audit[[#This Row],[Difference Winner]:[Difference Candidate 12]])</f>
        <v>0</v>
      </c>
      <c r="AS22" s="114">
        <f>IF(Audit[[#This Row],[Times p Drawn - With Replacement]]&gt;0, IF(Audit[[#This Row],[Canceled Differences]]&lt;0, Audit[[#This Row],[Max Differences]]+ABS(Audit[[#This Row],[Canceled Differences]]), Audit[[#This Row],[Max Differences]]), 0)</f>
        <v>0</v>
      </c>
      <c r="AT22" s="114">
        <f>'Sampling Data'!AB22</f>
        <v>5.7518488085456041E-3</v>
      </c>
      <c r="AU22" s="114">
        <f>IF(
      SUM(Audit[[#This Row],[Audit Losing Candidate]:[Audit Candidate 12]])
      &lt;&gt;0,
      (Audit[[#This Row],[Winning Candidate]]-Audit[[#This Row],[Losing Candidate]]-(Audit[[#This Row],[Audit Winning Candidate]]-Audit[[#This Row],[Audit Losing Candidate]]))/(Audit[[#Totals],[Winning Candidate]]-Audit[[#Totals],[Losing Candidate]]),
      0
)</f>
        <v>0</v>
      </c>
      <c r="AV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 s="114">
        <f>IF(Audit[[#This Row],[Max Relative Error (ep)]] = 0, 0, Audit[[#This Row],[Max Relative Error (ep)]]/Audit[[#This Row],[Error Bound (up) - Max. possible relative overstatement]])</f>
        <v>0</v>
      </c>
      <c r="BH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 s="114">
        <f t="shared" si="1"/>
        <v>1</v>
      </c>
      <c r="BJ22" s="114">
        <f>PRODUCT($BI$5:BI22)</f>
        <v>1</v>
      </c>
      <c r="BK22" s="112">
        <f>1 - Audit[[#This Row],[K-M P Value]]</f>
        <v>0</v>
      </c>
      <c r="BL22" s="114" t="str">
        <f>IF(Audit[[#This Row],[K-M P Value]]&gt;1-'General Info'!$B$12,"Continue", "Stop")</f>
        <v>Continue</v>
      </c>
      <c r="BM22" s="113" t="b">
        <f>IF(Audit[[#This Row],[Status - Continue or stop audit]] = "Continue", TRUE, IF(BL21 = "Continue", TRUE, FALSE))</f>
        <v>1</v>
      </c>
      <c r="BN22" s="113"/>
    </row>
    <row r="23" spans="1:66" ht="15" hidden="1" customHeight="1" x14ac:dyDescent="0.35">
      <c r="A23" s="114" t="str">
        <f>'Sampling Data'!AI23</f>
        <v/>
      </c>
      <c r="B23" s="114" t="str">
        <f>'Sampling Data'!A23</f>
        <v>0206 CIN 2-F   (AV)</v>
      </c>
      <c r="C23" s="114">
        <f>'Sampling Data'!B23</f>
        <v>26</v>
      </c>
      <c r="D23" s="114">
        <f>'Sampling Data'!C23</f>
        <v>4</v>
      </c>
      <c r="E23" s="115">
        <f>'Sampling Data'!D23</f>
        <v>1</v>
      </c>
      <c r="F23" s="115">
        <f>'Sampling Data'!E23</f>
        <v>0</v>
      </c>
      <c r="G23" s="115">
        <f>'Sampling Data'!F23</f>
        <v>0</v>
      </c>
      <c r="H23" s="115">
        <f>'Sampling Data'!G23</f>
        <v>0</v>
      </c>
      <c r="I23" s="115">
        <f>'Sampling Data'!H23</f>
        <v>0</v>
      </c>
      <c r="J23" s="115">
        <f>'Sampling Data'!I23</f>
        <v>0</v>
      </c>
      <c r="K23" s="115">
        <f>'Sampling Data'!J23</f>
        <v>0</v>
      </c>
      <c r="L23" s="115">
        <f>'Sampling Data'!K23</f>
        <v>0</v>
      </c>
      <c r="M23" s="115">
        <f>'Sampling Data'!L23</f>
        <v>0</v>
      </c>
      <c r="N23" s="115">
        <f>'Sampling Data'!M23</f>
        <v>0</v>
      </c>
      <c r="O23" s="114">
        <f>'Sampling Data'!N23</f>
        <v>0</v>
      </c>
      <c r="P23" s="114">
        <f>'Sampling Data'!O23</f>
        <v>0</v>
      </c>
      <c r="Q23" s="114">
        <f>'Sampling Data'!P23</f>
        <v>31</v>
      </c>
      <c r="R23" s="114">
        <f>'Sampling Data'!AJ23</f>
        <v>0</v>
      </c>
      <c r="S23" s="116"/>
      <c r="T23" s="116"/>
      <c r="U23" s="117"/>
      <c r="V23" s="117"/>
      <c r="W23" s="116"/>
      <c r="X23" s="116"/>
      <c r="Y23" s="116"/>
      <c r="Z23" s="116"/>
      <c r="AA23" s="15"/>
      <c r="AB23" s="15"/>
      <c r="AC23" s="15"/>
      <c r="AD23" s="15"/>
      <c r="AE23" s="118" t="str">
        <f>IF(NOT(ISBLANK(Audit[[#This Row],[Audit Winning Candidate]])), Audit[[#This Row],[Audit Winning Candidate]]-Audit[[#This Row],[Winning Candidate]], "")</f>
        <v/>
      </c>
      <c r="AF23" s="114" t="str">
        <f>IF(NOT(ISBLANK(Audit[[#This Row],[Audit Losing Candidate]])), Audit[[#This Row],[Audit Losing Candidate]]-Audit[[#This Row],[Losing Candidate]], "")</f>
        <v/>
      </c>
      <c r="AG23" s="114" t="str">
        <f>IF(NOT(ISBLANK(Audit[[#This Row],[Audit Candidate 3]])), Audit[[#This Row],[Audit Candidate 3]]-Audit[[#This Row],[Candidate 3]], "")</f>
        <v/>
      </c>
      <c r="AH23" s="114" t="str">
        <f>IF(NOT(ISBLANK(Audit[[#This Row],[Audit Candidate 4]])),Audit[[#This Row],[Audit Candidate 4]]-Audit[[#This Row],[Candidate 4]], "")</f>
        <v/>
      </c>
      <c r="AI23" s="114" t="str">
        <f>IF(NOT(ISBLANK(Audit[[#This Row],[Audit Candidate 5]])), Audit[[#This Row],[Audit Candidate 5]]-Audit[[#This Row],[Candidate 5]], "")</f>
        <v/>
      </c>
      <c r="AJ23" s="114" t="str">
        <f>IF(NOT(ISBLANK(Audit[[#This Row],[Audit Candidate 6]])), Audit[[#This Row],[Audit Candidate 6]]-Audit[[#This Row],[Candidate 6]], "")</f>
        <v/>
      </c>
      <c r="AK23" s="114" t="str">
        <f>IF(NOT(ISBLANK(Audit[[#This Row],[Audit Candidate 7]])), Audit[[#This Row],[Audit Candidate 7]]-Audit[[#This Row],[Candidate 7]], "")</f>
        <v/>
      </c>
      <c r="AL23" s="114" t="str">
        <f>IF(NOT(ISBLANK(Audit[[#This Row],[Audit Candidate 8]])), Audit[[#This Row],[Audit Candidate 8]]-Audit[[#This Row],[Candidate 8]], "")</f>
        <v/>
      </c>
      <c r="AM23" s="114" t="str">
        <f>IF(NOT(ISBLANK(Audit[[#This Row],[Audit Candidate 9]])), Audit[[#This Row],[Audit Candidate 9]]-Audit[[#This Row],[Candidate 9]], "")</f>
        <v/>
      </c>
      <c r="AN23" s="114" t="str">
        <f>IF(NOT(ISBLANK(Audit[[#This Row],[Audit Candidate 10]])), Audit[[#This Row],[Audit Candidate 10]]-Audit[[#This Row],[Candidate 10]], "")</f>
        <v/>
      </c>
      <c r="AO23" s="114" t="str">
        <f>IF(NOT(ISBLANK(Audit[[#This Row],[Audit Candidate 11]])), Audit[[#This Row],[Audit Candidate 11]]-Audit[[#This Row],[Candidate 11]], "")</f>
        <v/>
      </c>
      <c r="AP23" s="114" t="str">
        <f>IF(NOT(ISBLANK(Audit[[#This Row],[Audit Candidate 12]])), Audit[[#This Row],[Audit Candidate 12]]-Audit[[#This Row],[Candidate 12]], "")</f>
        <v/>
      </c>
      <c r="AQ23" s="114">
        <f>SUMIF(Audit[[#This Row],[Difference Winner]:[Difference Candidate 12]], "&gt;0")</f>
        <v>0</v>
      </c>
      <c r="AR23" s="114">
        <f>SUM(Audit[[#This Row],[Difference Winner]:[Difference Candidate 12]])</f>
        <v>0</v>
      </c>
      <c r="AS23" s="114">
        <f>IF(Audit[[#This Row],[Times p Drawn - With Replacement]]&gt;0, IF(Audit[[#This Row],[Canceled Differences]]&lt;0, Audit[[#This Row],[Max Differences]]+ABS(Audit[[#This Row],[Canceled Differences]]), Audit[[#This Row],[Max Differences]]), 0)</f>
        <v>0</v>
      </c>
      <c r="AT23" s="114">
        <f>'Sampling Data'!AB23</f>
        <v>3.3499778775045825E-3</v>
      </c>
      <c r="AU23" s="114">
        <f>IF(
      SUM(Audit[[#This Row],[Audit Losing Candidate]:[Audit Candidate 12]])
      &lt;&gt;0,
      (Audit[[#This Row],[Winning Candidate]]-Audit[[#This Row],[Losing Candidate]]-(Audit[[#This Row],[Audit Winning Candidate]]-Audit[[#This Row],[Audit Losing Candidate]]))/(Audit[[#Totals],[Winning Candidate]]-Audit[[#Totals],[Losing Candidate]]),
      0
)</f>
        <v>0</v>
      </c>
      <c r="AV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 s="114">
        <f>IF(Audit[[#This Row],[Max Relative Error (ep)]] = 0, 0, Audit[[#This Row],[Max Relative Error (ep)]]/Audit[[#This Row],[Error Bound (up) - Max. possible relative overstatement]])</f>
        <v>0</v>
      </c>
      <c r="BH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 s="114">
        <f t="shared" si="1"/>
        <v>1</v>
      </c>
      <c r="BJ23" s="114">
        <f>PRODUCT($BI$5:BI23)</f>
        <v>1</v>
      </c>
      <c r="BK23" s="112">
        <f>1 - Audit[[#This Row],[K-M P Value]]</f>
        <v>0</v>
      </c>
      <c r="BL23" s="114" t="str">
        <f>IF(Audit[[#This Row],[K-M P Value]]&gt;1-'General Info'!$B$12,"Continue", "Stop")</f>
        <v>Continue</v>
      </c>
      <c r="BM23" s="113" t="b">
        <f>IF(Audit[[#This Row],[Status - Continue or stop audit]] = "Continue", TRUE, IF(BL22 = "Continue", TRUE, FALSE))</f>
        <v>1</v>
      </c>
      <c r="BN23" s="113"/>
    </row>
    <row r="24" spans="1:66" ht="15" hidden="1" customHeight="1" x14ac:dyDescent="0.35">
      <c r="A24" s="114" t="str">
        <f>'Sampling Data'!AI24</f>
        <v/>
      </c>
      <c r="B24" s="114" t="str">
        <f>'Sampling Data'!A24</f>
        <v>0207 CIN 2-G   (AV)</v>
      </c>
      <c r="C24" s="114">
        <f>'Sampling Data'!B24</f>
        <v>51</v>
      </c>
      <c r="D24" s="114">
        <f>'Sampling Data'!C24</f>
        <v>11</v>
      </c>
      <c r="E24" s="115">
        <f>'Sampling Data'!D24</f>
        <v>11</v>
      </c>
      <c r="F24" s="115">
        <f>'Sampling Data'!E24</f>
        <v>0</v>
      </c>
      <c r="G24" s="115">
        <f>'Sampling Data'!F24</f>
        <v>0</v>
      </c>
      <c r="H24" s="115">
        <f>'Sampling Data'!G24</f>
        <v>0</v>
      </c>
      <c r="I24" s="115">
        <f>'Sampling Data'!H24</f>
        <v>0</v>
      </c>
      <c r="J24" s="115">
        <f>'Sampling Data'!I24</f>
        <v>0</v>
      </c>
      <c r="K24" s="115">
        <f>'Sampling Data'!J24</f>
        <v>0</v>
      </c>
      <c r="L24" s="115">
        <f>'Sampling Data'!K24</f>
        <v>0</v>
      </c>
      <c r="M24" s="115">
        <f>'Sampling Data'!L24</f>
        <v>0</v>
      </c>
      <c r="N24" s="115">
        <f>'Sampling Data'!M24</f>
        <v>0</v>
      </c>
      <c r="O24" s="114">
        <f>'Sampling Data'!N24</f>
        <v>0</v>
      </c>
      <c r="P24" s="114">
        <f>'Sampling Data'!O24</f>
        <v>6</v>
      </c>
      <c r="Q24" s="114">
        <f>'Sampling Data'!P24</f>
        <v>79</v>
      </c>
      <c r="R24" s="114">
        <f>'Sampling Data'!AJ24</f>
        <v>0</v>
      </c>
      <c r="S24" s="116"/>
      <c r="T24" s="116"/>
      <c r="U24" s="117"/>
      <c r="V24" s="117"/>
      <c r="W24" s="116"/>
      <c r="X24" s="116"/>
      <c r="Y24" s="116"/>
      <c r="Z24" s="116"/>
      <c r="AA24" s="15"/>
      <c r="AB24" s="15"/>
      <c r="AC24" s="15"/>
      <c r="AD24" s="15"/>
      <c r="AE24" s="118" t="str">
        <f>IF(NOT(ISBLANK(Audit[[#This Row],[Audit Winning Candidate]])), Audit[[#This Row],[Audit Winning Candidate]]-Audit[[#This Row],[Winning Candidate]], "")</f>
        <v/>
      </c>
      <c r="AF24" s="114" t="str">
        <f>IF(NOT(ISBLANK(Audit[[#This Row],[Audit Losing Candidate]])), Audit[[#This Row],[Audit Losing Candidate]]-Audit[[#This Row],[Losing Candidate]], "")</f>
        <v/>
      </c>
      <c r="AG24" s="114" t="str">
        <f>IF(NOT(ISBLANK(Audit[[#This Row],[Audit Candidate 3]])), Audit[[#This Row],[Audit Candidate 3]]-Audit[[#This Row],[Candidate 3]], "")</f>
        <v/>
      </c>
      <c r="AH24" s="114" t="str">
        <f>IF(NOT(ISBLANK(Audit[[#This Row],[Audit Candidate 4]])),Audit[[#This Row],[Audit Candidate 4]]-Audit[[#This Row],[Candidate 4]], "")</f>
        <v/>
      </c>
      <c r="AI24" s="114" t="str">
        <f>IF(NOT(ISBLANK(Audit[[#This Row],[Audit Candidate 5]])), Audit[[#This Row],[Audit Candidate 5]]-Audit[[#This Row],[Candidate 5]], "")</f>
        <v/>
      </c>
      <c r="AJ24" s="114" t="str">
        <f>IF(NOT(ISBLANK(Audit[[#This Row],[Audit Candidate 6]])), Audit[[#This Row],[Audit Candidate 6]]-Audit[[#This Row],[Candidate 6]], "")</f>
        <v/>
      </c>
      <c r="AK24" s="114" t="str">
        <f>IF(NOT(ISBLANK(Audit[[#This Row],[Audit Candidate 7]])), Audit[[#This Row],[Audit Candidate 7]]-Audit[[#This Row],[Candidate 7]], "")</f>
        <v/>
      </c>
      <c r="AL24" s="114" t="str">
        <f>IF(NOT(ISBLANK(Audit[[#This Row],[Audit Candidate 8]])), Audit[[#This Row],[Audit Candidate 8]]-Audit[[#This Row],[Candidate 8]], "")</f>
        <v/>
      </c>
      <c r="AM24" s="114" t="str">
        <f>IF(NOT(ISBLANK(Audit[[#This Row],[Audit Candidate 9]])), Audit[[#This Row],[Audit Candidate 9]]-Audit[[#This Row],[Candidate 9]], "")</f>
        <v/>
      </c>
      <c r="AN24" s="114" t="str">
        <f>IF(NOT(ISBLANK(Audit[[#This Row],[Audit Candidate 10]])), Audit[[#This Row],[Audit Candidate 10]]-Audit[[#This Row],[Candidate 10]], "")</f>
        <v/>
      </c>
      <c r="AO24" s="114" t="str">
        <f>IF(NOT(ISBLANK(Audit[[#This Row],[Audit Candidate 11]])), Audit[[#This Row],[Audit Candidate 11]]-Audit[[#This Row],[Candidate 11]], "")</f>
        <v/>
      </c>
      <c r="AP24" s="114" t="str">
        <f>IF(NOT(ISBLANK(Audit[[#This Row],[Audit Candidate 12]])), Audit[[#This Row],[Audit Candidate 12]]-Audit[[#This Row],[Candidate 12]], "")</f>
        <v/>
      </c>
      <c r="AQ24" s="114">
        <f>SUMIF(Audit[[#This Row],[Difference Winner]:[Difference Candidate 12]], "&gt;0")</f>
        <v>0</v>
      </c>
      <c r="AR24" s="114">
        <f>SUM(Audit[[#This Row],[Difference Winner]:[Difference Candidate 12]])</f>
        <v>0</v>
      </c>
      <c r="AS24" s="114">
        <f>IF(Audit[[#This Row],[Times p Drawn - With Replacement]]&gt;0, IF(Audit[[#This Row],[Canceled Differences]]&lt;0, Audit[[#This Row],[Max Differences]]+ABS(Audit[[#This Row],[Canceled Differences]]), Audit[[#This Row],[Max Differences]]), 0)</f>
        <v>0</v>
      </c>
      <c r="AT24" s="114">
        <f>'Sampling Data'!AB24</f>
        <v>7.5216484419442517E-3</v>
      </c>
      <c r="AU24" s="114">
        <f>IF(
      SUM(Audit[[#This Row],[Audit Losing Candidate]:[Audit Candidate 12]])
      &lt;&gt;0,
      (Audit[[#This Row],[Winning Candidate]]-Audit[[#This Row],[Losing Candidate]]-(Audit[[#This Row],[Audit Winning Candidate]]-Audit[[#This Row],[Audit Losing Candidate]]))/(Audit[[#Totals],[Winning Candidate]]-Audit[[#Totals],[Losing Candidate]]),
      0
)</f>
        <v>0</v>
      </c>
      <c r="AV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 s="114">
        <f>IF(Audit[[#This Row],[Max Relative Error (ep)]] = 0, 0, Audit[[#This Row],[Max Relative Error (ep)]]/Audit[[#This Row],[Error Bound (up) - Max. possible relative overstatement]])</f>
        <v>0</v>
      </c>
      <c r="BH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 s="114">
        <f t="shared" si="1"/>
        <v>1</v>
      </c>
      <c r="BJ24" s="114">
        <f>PRODUCT($BI$5:BI24)</f>
        <v>1</v>
      </c>
      <c r="BK24" s="112">
        <f>1 - Audit[[#This Row],[K-M P Value]]</f>
        <v>0</v>
      </c>
      <c r="BL24" s="114" t="str">
        <f>IF(Audit[[#This Row],[K-M P Value]]&gt;1-'General Info'!$B$12,"Continue", "Stop")</f>
        <v>Continue</v>
      </c>
      <c r="BM24" s="113" t="b">
        <f>IF(Audit[[#This Row],[Status - Continue or stop audit]] = "Continue", TRUE, IF(BL23 = "Continue", TRUE, FALSE))</f>
        <v>1</v>
      </c>
      <c r="BN24" s="113"/>
    </row>
    <row r="25" spans="1:66" ht="15" hidden="1" customHeight="1" x14ac:dyDescent="0.35">
      <c r="A25" s="114" t="str">
        <f>'Sampling Data'!AI25</f>
        <v/>
      </c>
      <c r="B25" s="114" t="str">
        <f>'Sampling Data'!A25</f>
        <v>0208 CIN 2-H   (AV)</v>
      </c>
      <c r="C25" s="114">
        <f>'Sampling Data'!B25</f>
        <v>6</v>
      </c>
      <c r="D25" s="114">
        <f>'Sampling Data'!C25</f>
        <v>0</v>
      </c>
      <c r="E25" s="115">
        <f>'Sampling Data'!D25</f>
        <v>0</v>
      </c>
      <c r="F25" s="115">
        <f>'Sampling Data'!E25</f>
        <v>0</v>
      </c>
      <c r="G25" s="115">
        <f>'Sampling Data'!F25</f>
        <v>0</v>
      </c>
      <c r="H25" s="115">
        <f>'Sampling Data'!G25</f>
        <v>0</v>
      </c>
      <c r="I25" s="115">
        <f>'Sampling Data'!H25</f>
        <v>0</v>
      </c>
      <c r="J25" s="115">
        <f>'Sampling Data'!I25</f>
        <v>0</v>
      </c>
      <c r="K25" s="115">
        <f>'Sampling Data'!J25</f>
        <v>0</v>
      </c>
      <c r="L25" s="115">
        <f>'Sampling Data'!K25</f>
        <v>0</v>
      </c>
      <c r="M25" s="115">
        <f>'Sampling Data'!L25</f>
        <v>0</v>
      </c>
      <c r="N25" s="115">
        <f>'Sampling Data'!M25</f>
        <v>0</v>
      </c>
      <c r="O25" s="114">
        <f>'Sampling Data'!N25</f>
        <v>0</v>
      </c>
      <c r="P25" s="114">
        <f>'Sampling Data'!O25</f>
        <v>0</v>
      </c>
      <c r="Q25" s="114">
        <f>'Sampling Data'!P25</f>
        <v>6</v>
      </c>
      <c r="R25" s="114">
        <f>'Sampling Data'!AJ25</f>
        <v>0</v>
      </c>
      <c r="S25" s="116"/>
      <c r="T25" s="116"/>
      <c r="U25" s="117"/>
      <c r="V25" s="117"/>
      <c r="W25" s="116"/>
      <c r="X25" s="116"/>
      <c r="Y25" s="116"/>
      <c r="Z25" s="116"/>
      <c r="AA25" s="15"/>
      <c r="AB25" s="15"/>
      <c r="AC25" s="15"/>
      <c r="AD25" s="15"/>
      <c r="AE25" s="118" t="str">
        <f>IF(NOT(ISBLANK(Audit[[#This Row],[Audit Winning Candidate]])), Audit[[#This Row],[Audit Winning Candidate]]-Audit[[#This Row],[Winning Candidate]], "")</f>
        <v/>
      </c>
      <c r="AF25" s="114" t="str">
        <f>IF(NOT(ISBLANK(Audit[[#This Row],[Audit Losing Candidate]])), Audit[[#This Row],[Audit Losing Candidate]]-Audit[[#This Row],[Losing Candidate]], "")</f>
        <v/>
      </c>
      <c r="AG25" s="114" t="str">
        <f>IF(NOT(ISBLANK(Audit[[#This Row],[Audit Candidate 3]])), Audit[[#This Row],[Audit Candidate 3]]-Audit[[#This Row],[Candidate 3]], "")</f>
        <v/>
      </c>
      <c r="AH25" s="114" t="str">
        <f>IF(NOT(ISBLANK(Audit[[#This Row],[Audit Candidate 4]])),Audit[[#This Row],[Audit Candidate 4]]-Audit[[#This Row],[Candidate 4]], "")</f>
        <v/>
      </c>
      <c r="AI25" s="114" t="str">
        <f>IF(NOT(ISBLANK(Audit[[#This Row],[Audit Candidate 5]])), Audit[[#This Row],[Audit Candidate 5]]-Audit[[#This Row],[Candidate 5]], "")</f>
        <v/>
      </c>
      <c r="AJ25" s="114" t="str">
        <f>IF(NOT(ISBLANK(Audit[[#This Row],[Audit Candidate 6]])), Audit[[#This Row],[Audit Candidate 6]]-Audit[[#This Row],[Candidate 6]], "")</f>
        <v/>
      </c>
      <c r="AK25" s="114" t="str">
        <f>IF(NOT(ISBLANK(Audit[[#This Row],[Audit Candidate 7]])), Audit[[#This Row],[Audit Candidate 7]]-Audit[[#This Row],[Candidate 7]], "")</f>
        <v/>
      </c>
      <c r="AL25" s="114" t="str">
        <f>IF(NOT(ISBLANK(Audit[[#This Row],[Audit Candidate 8]])), Audit[[#This Row],[Audit Candidate 8]]-Audit[[#This Row],[Candidate 8]], "")</f>
        <v/>
      </c>
      <c r="AM25" s="114" t="str">
        <f>IF(NOT(ISBLANK(Audit[[#This Row],[Audit Candidate 9]])), Audit[[#This Row],[Audit Candidate 9]]-Audit[[#This Row],[Candidate 9]], "")</f>
        <v/>
      </c>
      <c r="AN25" s="114" t="str">
        <f>IF(NOT(ISBLANK(Audit[[#This Row],[Audit Candidate 10]])), Audit[[#This Row],[Audit Candidate 10]]-Audit[[#This Row],[Candidate 10]], "")</f>
        <v/>
      </c>
      <c r="AO25" s="114" t="str">
        <f>IF(NOT(ISBLANK(Audit[[#This Row],[Audit Candidate 11]])), Audit[[#This Row],[Audit Candidate 11]]-Audit[[#This Row],[Candidate 11]], "")</f>
        <v/>
      </c>
      <c r="AP25" s="114" t="str">
        <f>IF(NOT(ISBLANK(Audit[[#This Row],[Audit Candidate 12]])), Audit[[#This Row],[Audit Candidate 12]]-Audit[[#This Row],[Candidate 12]], "")</f>
        <v/>
      </c>
      <c r="AQ25" s="114">
        <f>SUMIF(Audit[[#This Row],[Difference Winner]:[Difference Candidate 12]], "&gt;0")</f>
        <v>0</v>
      </c>
      <c r="AR25" s="114">
        <f>SUM(Audit[[#This Row],[Difference Winner]:[Difference Candidate 12]])</f>
        <v>0</v>
      </c>
      <c r="AS25" s="114">
        <f>IF(Audit[[#This Row],[Times p Drawn - With Replacement]]&gt;0, IF(Audit[[#This Row],[Canceled Differences]]&lt;0, Audit[[#This Row],[Max Differences]]+ABS(Audit[[#This Row],[Canceled Differences]]), Audit[[#This Row],[Max Differences]]), 0)</f>
        <v>0</v>
      </c>
      <c r="AT25" s="114">
        <f>'Sampling Data'!AB25</f>
        <v>7.5848555717084889E-4</v>
      </c>
      <c r="AU25" s="114">
        <f>IF(
      SUM(Audit[[#This Row],[Audit Losing Candidate]:[Audit Candidate 12]])
      &lt;&gt;0,
      (Audit[[#This Row],[Winning Candidate]]-Audit[[#This Row],[Losing Candidate]]-(Audit[[#This Row],[Audit Winning Candidate]]-Audit[[#This Row],[Audit Losing Candidate]]))/(Audit[[#Totals],[Winning Candidate]]-Audit[[#Totals],[Losing Candidate]]),
      0
)</f>
        <v>0</v>
      </c>
      <c r="AV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 s="114">
        <f>IF(Audit[[#This Row],[Max Relative Error (ep)]] = 0, 0, Audit[[#This Row],[Max Relative Error (ep)]]/Audit[[#This Row],[Error Bound (up) - Max. possible relative overstatement]])</f>
        <v>0</v>
      </c>
      <c r="BH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 s="114">
        <f t="shared" si="1"/>
        <v>1</v>
      </c>
      <c r="BJ25" s="114">
        <f>PRODUCT($BI$5:BI25)</f>
        <v>1</v>
      </c>
      <c r="BK25" s="112">
        <f>1 - Audit[[#This Row],[K-M P Value]]</f>
        <v>0</v>
      </c>
      <c r="BL25" s="114" t="str">
        <f>IF(Audit[[#This Row],[K-M P Value]]&gt;1-'General Info'!$B$12,"Continue", "Stop")</f>
        <v>Continue</v>
      </c>
      <c r="BM25" s="113" t="b">
        <f>IF(Audit[[#This Row],[Status - Continue or stop audit]] = "Continue", TRUE, IF(BL24 = "Continue", TRUE, FALSE))</f>
        <v>1</v>
      </c>
      <c r="BN25" s="113"/>
    </row>
    <row r="26" spans="1:66" ht="15" hidden="1" customHeight="1" x14ac:dyDescent="0.35">
      <c r="A26" s="114" t="str">
        <f>'Sampling Data'!AI26</f>
        <v/>
      </c>
      <c r="B26" s="114" t="str">
        <f>'Sampling Data'!A26</f>
        <v>0209 CIN 2-I   (AV)</v>
      </c>
      <c r="C26" s="114">
        <f>'Sampling Data'!B26</f>
        <v>16</v>
      </c>
      <c r="D26" s="114">
        <f>'Sampling Data'!C26</f>
        <v>3</v>
      </c>
      <c r="E26" s="115">
        <f>'Sampling Data'!D26</f>
        <v>1</v>
      </c>
      <c r="F26" s="115">
        <f>'Sampling Data'!E26</f>
        <v>0</v>
      </c>
      <c r="G26" s="115">
        <f>'Sampling Data'!F26</f>
        <v>0</v>
      </c>
      <c r="H26" s="115">
        <f>'Sampling Data'!G26</f>
        <v>0</v>
      </c>
      <c r="I26" s="115">
        <f>'Sampling Data'!H26</f>
        <v>0</v>
      </c>
      <c r="J26" s="115">
        <f>'Sampling Data'!I26</f>
        <v>0</v>
      </c>
      <c r="K26" s="115">
        <f>'Sampling Data'!J26</f>
        <v>0</v>
      </c>
      <c r="L26" s="115">
        <f>'Sampling Data'!K26</f>
        <v>0</v>
      </c>
      <c r="M26" s="115">
        <f>'Sampling Data'!L26</f>
        <v>0</v>
      </c>
      <c r="N26" s="115">
        <f>'Sampling Data'!M26</f>
        <v>0</v>
      </c>
      <c r="O26" s="114">
        <f>'Sampling Data'!N26</f>
        <v>0</v>
      </c>
      <c r="P26" s="114">
        <f>'Sampling Data'!O26</f>
        <v>0</v>
      </c>
      <c r="Q26" s="114">
        <f>'Sampling Data'!P26</f>
        <v>20</v>
      </c>
      <c r="R26" s="114">
        <f>'Sampling Data'!AJ26</f>
        <v>0</v>
      </c>
      <c r="S26" s="116"/>
      <c r="T26" s="116"/>
      <c r="U26" s="117"/>
      <c r="V26" s="117"/>
      <c r="W26" s="116"/>
      <c r="X26" s="116"/>
      <c r="Y26" s="116"/>
      <c r="Z26" s="116"/>
      <c r="AA26" s="15"/>
      <c r="AB26" s="15"/>
      <c r="AC26" s="15"/>
      <c r="AD26" s="15"/>
      <c r="AE26" s="118" t="str">
        <f>IF(NOT(ISBLANK(Audit[[#This Row],[Audit Winning Candidate]])), Audit[[#This Row],[Audit Winning Candidate]]-Audit[[#This Row],[Winning Candidate]], "")</f>
        <v/>
      </c>
      <c r="AF26" s="114" t="str">
        <f>IF(NOT(ISBLANK(Audit[[#This Row],[Audit Losing Candidate]])), Audit[[#This Row],[Audit Losing Candidate]]-Audit[[#This Row],[Losing Candidate]], "")</f>
        <v/>
      </c>
      <c r="AG26" s="114" t="str">
        <f>IF(NOT(ISBLANK(Audit[[#This Row],[Audit Candidate 3]])), Audit[[#This Row],[Audit Candidate 3]]-Audit[[#This Row],[Candidate 3]], "")</f>
        <v/>
      </c>
      <c r="AH26" s="114" t="str">
        <f>IF(NOT(ISBLANK(Audit[[#This Row],[Audit Candidate 4]])),Audit[[#This Row],[Audit Candidate 4]]-Audit[[#This Row],[Candidate 4]], "")</f>
        <v/>
      </c>
      <c r="AI26" s="114" t="str">
        <f>IF(NOT(ISBLANK(Audit[[#This Row],[Audit Candidate 5]])), Audit[[#This Row],[Audit Candidate 5]]-Audit[[#This Row],[Candidate 5]], "")</f>
        <v/>
      </c>
      <c r="AJ26" s="114" t="str">
        <f>IF(NOT(ISBLANK(Audit[[#This Row],[Audit Candidate 6]])), Audit[[#This Row],[Audit Candidate 6]]-Audit[[#This Row],[Candidate 6]], "")</f>
        <v/>
      </c>
      <c r="AK26" s="114" t="str">
        <f>IF(NOT(ISBLANK(Audit[[#This Row],[Audit Candidate 7]])), Audit[[#This Row],[Audit Candidate 7]]-Audit[[#This Row],[Candidate 7]], "")</f>
        <v/>
      </c>
      <c r="AL26" s="114" t="str">
        <f>IF(NOT(ISBLANK(Audit[[#This Row],[Audit Candidate 8]])), Audit[[#This Row],[Audit Candidate 8]]-Audit[[#This Row],[Candidate 8]], "")</f>
        <v/>
      </c>
      <c r="AM26" s="114" t="str">
        <f>IF(NOT(ISBLANK(Audit[[#This Row],[Audit Candidate 9]])), Audit[[#This Row],[Audit Candidate 9]]-Audit[[#This Row],[Candidate 9]], "")</f>
        <v/>
      </c>
      <c r="AN26" s="114" t="str">
        <f>IF(NOT(ISBLANK(Audit[[#This Row],[Audit Candidate 10]])), Audit[[#This Row],[Audit Candidate 10]]-Audit[[#This Row],[Candidate 10]], "")</f>
        <v/>
      </c>
      <c r="AO26" s="114" t="str">
        <f>IF(NOT(ISBLANK(Audit[[#This Row],[Audit Candidate 11]])), Audit[[#This Row],[Audit Candidate 11]]-Audit[[#This Row],[Candidate 11]], "")</f>
        <v/>
      </c>
      <c r="AP26" s="114" t="str">
        <f>IF(NOT(ISBLANK(Audit[[#This Row],[Audit Candidate 12]])), Audit[[#This Row],[Audit Candidate 12]]-Audit[[#This Row],[Candidate 12]], "")</f>
        <v/>
      </c>
      <c r="AQ26" s="114">
        <f>SUMIF(Audit[[#This Row],[Difference Winner]:[Difference Candidate 12]], "&gt;0")</f>
        <v>0</v>
      </c>
      <c r="AR26" s="114">
        <f>SUM(Audit[[#This Row],[Difference Winner]:[Difference Candidate 12]])</f>
        <v>0</v>
      </c>
      <c r="AS26" s="114">
        <f>IF(Audit[[#This Row],[Times p Drawn - With Replacement]]&gt;0, IF(Audit[[#This Row],[Canceled Differences]]&lt;0, Audit[[#This Row],[Max Differences]]+ABS(Audit[[#This Row],[Canceled Differences]]), Audit[[#This Row],[Max Differences]]), 0)</f>
        <v>0</v>
      </c>
      <c r="AT26" s="114">
        <f>'Sampling Data'!AB26</f>
        <v>2.0858352822198346E-3</v>
      </c>
      <c r="AU26" s="114">
        <f>IF(
      SUM(Audit[[#This Row],[Audit Losing Candidate]:[Audit Candidate 12]])
      &lt;&gt;0,
      (Audit[[#This Row],[Winning Candidate]]-Audit[[#This Row],[Losing Candidate]]-(Audit[[#This Row],[Audit Winning Candidate]]-Audit[[#This Row],[Audit Losing Candidate]]))/(Audit[[#Totals],[Winning Candidate]]-Audit[[#Totals],[Losing Candidate]]),
      0
)</f>
        <v>0</v>
      </c>
      <c r="AV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 s="114">
        <f>IF(Audit[[#This Row],[Max Relative Error (ep)]] = 0, 0, Audit[[#This Row],[Max Relative Error (ep)]]/Audit[[#This Row],[Error Bound (up) - Max. possible relative overstatement]])</f>
        <v>0</v>
      </c>
      <c r="BH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 s="114">
        <f t="shared" si="1"/>
        <v>1</v>
      </c>
      <c r="BJ26" s="114">
        <f>PRODUCT($BI$5:BI26)</f>
        <v>1</v>
      </c>
      <c r="BK26" s="112">
        <f>1 - Audit[[#This Row],[K-M P Value]]</f>
        <v>0</v>
      </c>
      <c r="BL26" s="114" t="str">
        <f>IF(Audit[[#This Row],[K-M P Value]]&gt;1-'General Info'!$B$12,"Continue", "Stop")</f>
        <v>Continue</v>
      </c>
      <c r="BM26" s="113" t="b">
        <f>IF(Audit[[#This Row],[Status - Continue or stop audit]] = "Continue", TRUE, IF(BL25 = "Continue", TRUE, FALSE))</f>
        <v>1</v>
      </c>
      <c r="BN26" s="113"/>
    </row>
    <row r="27" spans="1:66" ht="15" hidden="1" customHeight="1" x14ac:dyDescent="0.35">
      <c r="A27" s="114" t="str">
        <f>'Sampling Data'!AI27</f>
        <v/>
      </c>
      <c r="B27" s="114" t="str">
        <f>'Sampling Data'!A27</f>
        <v>0210 CIN 2-J   (AV)</v>
      </c>
      <c r="C27" s="114">
        <f>'Sampling Data'!B27</f>
        <v>18</v>
      </c>
      <c r="D27" s="114">
        <f>'Sampling Data'!C27</f>
        <v>1</v>
      </c>
      <c r="E27" s="115">
        <f>'Sampling Data'!D27</f>
        <v>0</v>
      </c>
      <c r="F27" s="115">
        <f>'Sampling Data'!E27</f>
        <v>0</v>
      </c>
      <c r="G27" s="115">
        <f>'Sampling Data'!F27</f>
        <v>0</v>
      </c>
      <c r="H27" s="115">
        <f>'Sampling Data'!G27</f>
        <v>0</v>
      </c>
      <c r="I27" s="115">
        <f>'Sampling Data'!H27</f>
        <v>0</v>
      </c>
      <c r="J27" s="115">
        <f>'Sampling Data'!I27</f>
        <v>0</v>
      </c>
      <c r="K27" s="115">
        <f>'Sampling Data'!J27</f>
        <v>0</v>
      </c>
      <c r="L27" s="115">
        <f>'Sampling Data'!K27</f>
        <v>0</v>
      </c>
      <c r="M27" s="115">
        <f>'Sampling Data'!L27</f>
        <v>0</v>
      </c>
      <c r="N27" s="115">
        <f>'Sampling Data'!M27</f>
        <v>0</v>
      </c>
      <c r="O27" s="114">
        <f>'Sampling Data'!N27</f>
        <v>0</v>
      </c>
      <c r="P27" s="114">
        <f>'Sampling Data'!O27</f>
        <v>0</v>
      </c>
      <c r="Q27" s="114">
        <f>'Sampling Data'!P27</f>
        <v>19</v>
      </c>
      <c r="R27" s="114">
        <f>'Sampling Data'!AJ27</f>
        <v>0</v>
      </c>
      <c r="S27" s="116"/>
      <c r="T27" s="116"/>
      <c r="U27" s="117"/>
      <c r="V27" s="117"/>
      <c r="W27" s="116"/>
      <c r="X27" s="116"/>
      <c r="Y27" s="116"/>
      <c r="Z27" s="116"/>
      <c r="AA27" s="15"/>
      <c r="AB27" s="15"/>
      <c r="AC27" s="15"/>
      <c r="AD27" s="15"/>
      <c r="AE27" s="118" t="str">
        <f>IF(NOT(ISBLANK(Audit[[#This Row],[Audit Winning Candidate]])), Audit[[#This Row],[Audit Winning Candidate]]-Audit[[#This Row],[Winning Candidate]], "")</f>
        <v/>
      </c>
      <c r="AF27" s="114" t="str">
        <f>IF(NOT(ISBLANK(Audit[[#This Row],[Audit Losing Candidate]])), Audit[[#This Row],[Audit Losing Candidate]]-Audit[[#This Row],[Losing Candidate]], "")</f>
        <v/>
      </c>
      <c r="AG27" s="114" t="str">
        <f>IF(NOT(ISBLANK(Audit[[#This Row],[Audit Candidate 3]])), Audit[[#This Row],[Audit Candidate 3]]-Audit[[#This Row],[Candidate 3]], "")</f>
        <v/>
      </c>
      <c r="AH27" s="114" t="str">
        <f>IF(NOT(ISBLANK(Audit[[#This Row],[Audit Candidate 4]])),Audit[[#This Row],[Audit Candidate 4]]-Audit[[#This Row],[Candidate 4]], "")</f>
        <v/>
      </c>
      <c r="AI27" s="114" t="str">
        <f>IF(NOT(ISBLANK(Audit[[#This Row],[Audit Candidate 5]])), Audit[[#This Row],[Audit Candidate 5]]-Audit[[#This Row],[Candidate 5]], "")</f>
        <v/>
      </c>
      <c r="AJ27" s="114" t="str">
        <f>IF(NOT(ISBLANK(Audit[[#This Row],[Audit Candidate 6]])), Audit[[#This Row],[Audit Candidate 6]]-Audit[[#This Row],[Candidate 6]], "")</f>
        <v/>
      </c>
      <c r="AK27" s="114" t="str">
        <f>IF(NOT(ISBLANK(Audit[[#This Row],[Audit Candidate 7]])), Audit[[#This Row],[Audit Candidate 7]]-Audit[[#This Row],[Candidate 7]], "")</f>
        <v/>
      </c>
      <c r="AL27" s="114" t="str">
        <f>IF(NOT(ISBLANK(Audit[[#This Row],[Audit Candidate 8]])), Audit[[#This Row],[Audit Candidate 8]]-Audit[[#This Row],[Candidate 8]], "")</f>
        <v/>
      </c>
      <c r="AM27" s="114" t="str">
        <f>IF(NOT(ISBLANK(Audit[[#This Row],[Audit Candidate 9]])), Audit[[#This Row],[Audit Candidate 9]]-Audit[[#This Row],[Candidate 9]], "")</f>
        <v/>
      </c>
      <c r="AN27" s="114" t="str">
        <f>IF(NOT(ISBLANK(Audit[[#This Row],[Audit Candidate 10]])), Audit[[#This Row],[Audit Candidate 10]]-Audit[[#This Row],[Candidate 10]], "")</f>
        <v/>
      </c>
      <c r="AO27" s="114" t="str">
        <f>IF(NOT(ISBLANK(Audit[[#This Row],[Audit Candidate 11]])), Audit[[#This Row],[Audit Candidate 11]]-Audit[[#This Row],[Candidate 11]], "")</f>
        <v/>
      </c>
      <c r="AP27" s="114" t="str">
        <f>IF(NOT(ISBLANK(Audit[[#This Row],[Audit Candidate 12]])), Audit[[#This Row],[Audit Candidate 12]]-Audit[[#This Row],[Candidate 12]], "")</f>
        <v/>
      </c>
      <c r="AQ27" s="114">
        <f>SUMIF(Audit[[#This Row],[Difference Winner]:[Difference Candidate 12]], "&gt;0")</f>
        <v>0</v>
      </c>
      <c r="AR27" s="114">
        <f>SUM(Audit[[#This Row],[Difference Winner]:[Difference Candidate 12]])</f>
        <v>0</v>
      </c>
      <c r="AS27" s="114">
        <f>IF(Audit[[#This Row],[Times p Drawn - With Replacement]]&gt;0, IF(Audit[[#This Row],[Canceled Differences]]&lt;0, Audit[[#This Row],[Max Differences]]+ABS(Audit[[#This Row],[Canceled Differences]]), Audit[[#This Row],[Max Differences]]), 0)</f>
        <v>0</v>
      </c>
      <c r="AT27" s="114">
        <f>'Sampling Data'!AB27</f>
        <v>2.2754566715125464E-3</v>
      </c>
      <c r="AU27" s="114">
        <f>IF(
      SUM(Audit[[#This Row],[Audit Losing Candidate]:[Audit Candidate 12]])
      &lt;&gt;0,
      (Audit[[#This Row],[Winning Candidate]]-Audit[[#This Row],[Losing Candidate]]-(Audit[[#This Row],[Audit Winning Candidate]]-Audit[[#This Row],[Audit Losing Candidate]]))/(Audit[[#Totals],[Winning Candidate]]-Audit[[#Totals],[Losing Candidate]]),
      0
)</f>
        <v>0</v>
      </c>
      <c r="AV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 s="114">
        <f>IF(Audit[[#This Row],[Max Relative Error (ep)]] = 0, 0, Audit[[#This Row],[Max Relative Error (ep)]]/Audit[[#This Row],[Error Bound (up) - Max. possible relative overstatement]])</f>
        <v>0</v>
      </c>
      <c r="BH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 s="114">
        <f t="shared" si="1"/>
        <v>1</v>
      </c>
      <c r="BJ27" s="114">
        <f>PRODUCT($BI$5:BI27)</f>
        <v>1</v>
      </c>
      <c r="BK27" s="112">
        <f>1 - Audit[[#This Row],[K-M P Value]]</f>
        <v>0</v>
      </c>
      <c r="BL27" s="114" t="str">
        <f>IF(Audit[[#This Row],[K-M P Value]]&gt;1-'General Info'!$B$12,"Continue", "Stop")</f>
        <v>Continue</v>
      </c>
      <c r="BM27" s="113" t="b">
        <f>IF(Audit[[#This Row],[Status - Continue or stop audit]] = "Continue", TRUE, IF(BL26 = "Continue", TRUE, FALSE))</f>
        <v>1</v>
      </c>
      <c r="BN27" s="113"/>
    </row>
    <row r="28" spans="1:66" ht="15" customHeight="1" x14ac:dyDescent="0.35">
      <c r="A28" s="114">
        <f>'Sampling Data'!AI28</f>
        <v>1</v>
      </c>
      <c r="B28" s="114" t="str">
        <f>'Sampling Data'!A28</f>
        <v>0211 CIN 2-K   (AV)</v>
      </c>
      <c r="C28" s="114">
        <f>'Sampling Data'!B28</f>
        <v>40</v>
      </c>
      <c r="D28" s="114">
        <f>'Sampling Data'!C28</f>
        <v>5</v>
      </c>
      <c r="E28" s="115">
        <f>'Sampling Data'!D28</f>
        <v>3</v>
      </c>
      <c r="F28" s="115">
        <f>'Sampling Data'!E28</f>
        <v>0</v>
      </c>
      <c r="G28" s="115">
        <f>'Sampling Data'!F28</f>
        <v>0</v>
      </c>
      <c r="H28" s="115">
        <f>'Sampling Data'!G28</f>
        <v>0</v>
      </c>
      <c r="I28" s="115">
        <f>'Sampling Data'!H28</f>
        <v>0</v>
      </c>
      <c r="J28" s="115">
        <f>'Sampling Data'!I28</f>
        <v>0</v>
      </c>
      <c r="K28" s="115">
        <f>'Sampling Data'!J28</f>
        <v>0</v>
      </c>
      <c r="L28" s="115">
        <f>'Sampling Data'!K28</f>
        <v>0</v>
      </c>
      <c r="M28" s="115">
        <f>'Sampling Data'!L28</f>
        <v>0</v>
      </c>
      <c r="N28" s="115">
        <f>'Sampling Data'!M28</f>
        <v>0</v>
      </c>
      <c r="O28" s="114">
        <f>'Sampling Data'!N28</f>
        <v>0</v>
      </c>
      <c r="P28" s="114">
        <f>'Sampling Data'!O28</f>
        <v>1</v>
      </c>
      <c r="Q28" s="114">
        <f>'Sampling Data'!P28</f>
        <v>49</v>
      </c>
      <c r="R28" s="114">
        <f>'Sampling Data'!AJ28</f>
        <v>1</v>
      </c>
      <c r="S28" s="116">
        <v>40</v>
      </c>
      <c r="T28" s="116">
        <v>5</v>
      </c>
      <c r="U28" s="117">
        <v>3</v>
      </c>
      <c r="V28" s="117"/>
      <c r="W28" s="116"/>
      <c r="X28" s="116"/>
      <c r="Y28" s="116"/>
      <c r="Z28" s="116"/>
      <c r="AA28" s="15"/>
      <c r="AB28" s="15"/>
      <c r="AC28" s="15"/>
      <c r="AD28" s="15"/>
      <c r="AE28" s="118">
        <f>IF(NOT(ISBLANK(Audit[[#This Row],[Audit Winning Candidate]])), Audit[[#This Row],[Audit Winning Candidate]]-Audit[[#This Row],[Winning Candidate]], "")</f>
        <v>0</v>
      </c>
      <c r="AF28" s="114">
        <f>IF(NOT(ISBLANK(Audit[[#This Row],[Audit Losing Candidate]])), Audit[[#This Row],[Audit Losing Candidate]]-Audit[[#This Row],[Losing Candidate]], "")</f>
        <v>0</v>
      </c>
      <c r="AG28" s="114">
        <f>IF(NOT(ISBLANK(Audit[[#This Row],[Audit Candidate 3]])), Audit[[#This Row],[Audit Candidate 3]]-Audit[[#This Row],[Candidate 3]], "")</f>
        <v>0</v>
      </c>
      <c r="AH28" s="114" t="str">
        <f>IF(NOT(ISBLANK(Audit[[#This Row],[Audit Candidate 4]])),Audit[[#This Row],[Audit Candidate 4]]-Audit[[#This Row],[Candidate 4]], "")</f>
        <v/>
      </c>
      <c r="AI28" s="114" t="str">
        <f>IF(NOT(ISBLANK(Audit[[#This Row],[Audit Candidate 5]])), Audit[[#This Row],[Audit Candidate 5]]-Audit[[#This Row],[Candidate 5]], "")</f>
        <v/>
      </c>
      <c r="AJ28" s="114" t="str">
        <f>IF(NOT(ISBLANK(Audit[[#This Row],[Audit Candidate 6]])), Audit[[#This Row],[Audit Candidate 6]]-Audit[[#This Row],[Candidate 6]], "")</f>
        <v/>
      </c>
      <c r="AK28" s="114" t="str">
        <f>IF(NOT(ISBLANK(Audit[[#This Row],[Audit Candidate 7]])), Audit[[#This Row],[Audit Candidate 7]]-Audit[[#This Row],[Candidate 7]], "")</f>
        <v/>
      </c>
      <c r="AL28" s="114" t="str">
        <f>IF(NOT(ISBLANK(Audit[[#This Row],[Audit Candidate 8]])), Audit[[#This Row],[Audit Candidate 8]]-Audit[[#This Row],[Candidate 8]], "")</f>
        <v/>
      </c>
      <c r="AM28" s="114" t="str">
        <f>IF(NOT(ISBLANK(Audit[[#This Row],[Audit Candidate 9]])), Audit[[#This Row],[Audit Candidate 9]]-Audit[[#This Row],[Candidate 9]], "")</f>
        <v/>
      </c>
      <c r="AN28" s="114" t="str">
        <f>IF(NOT(ISBLANK(Audit[[#This Row],[Audit Candidate 10]])), Audit[[#This Row],[Audit Candidate 10]]-Audit[[#This Row],[Candidate 10]], "")</f>
        <v/>
      </c>
      <c r="AO28" s="114" t="str">
        <f>IF(NOT(ISBLANK(Audit[[#This Row],[Audit Candidate 11]])), Audit[[#This Row],[Audit Candidate 11]]-Audit[[#This Row],[Candidate 11]], "")</f>
        <v/>
      </c>
      <c r="AP28" s="114" t="str">
        <f>IF(NOT(ISBLANK(Audit[[#This Row],[Audit Candidate 12]])), Audit[[#This Row],[Audit Candidate 12]]-Audit[[#This Row],[Candidate 12]], "")</f>
        <v/>
      </c>
      <c r="AQ28" s="114">
        <f>SUMIF(Audit[[#This Row],[Difference Winner]:[Difference Candidate 12]], "&gt;0")</f>
        <v>0</v>
      </c>
      <c r="AR28" s="114">
        <f>SUM(Audit[[#This Row],[Difference Winner]:[Difference Candidate 12]])</f>
        <v>0</v>
      </c>
      <c r="AS28" s="114">
        <f>IF(Audit[[#This Row],[Times p Drawn - With Replacement]]&gt;0, IF(Audit[[#This Row],[Canceled Differences]]&lt;0, Audit[[#This Row],[Max Differences]]+ABS(Audit[[#This Row],[Canceled Differences]]), Audit[[#This Row],[Max Differences]]), 0)</f>
        <v>0</v>
      </c>
      <c r="AT28" s="114">
        <f>'Sampling Data'!AB28</f>
        <v>5.309398900195942E-3</v>
      </c>
      <c r="AU28" s="114">
        <f>IF(
      SUM(Audit[[#This Row],[Audit Losing Candidate]:[Audit Candidate 12]])
      &lt;&gt;0,
      (Audit[[#This Row],[Winning Candidate]]-Audit[[#This Row],[Losing Candidate]]-(Audit[[#This Row],[Audit Winning Candidate]]-Audit[[#This Row],[Audit Losing Candidate]]))/(Audit[[#Totals],[Winning Candidate]]-Audit[[#Totals],[Losing Candidate]]),
      0
)</f>
        <v>0</v>
      </c>
      <c r="AV28" s="114">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 s="114">
        <f>IF(Audit[[#This Row],[Max Relative Error (ep)]] = 0, 0, Audit[[#This Row],[Max Relative Error (ep)]]/Audit[[#This Row],[Error Bound (up) - Max. possible relative overstatement]])</f>
        <v>0</v>
      </c>
      <c r="BH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 s="114">
        <f t="shared" si="1"/>
        <v>0.59414444935226851</v>
      </c>
      <c r="BJ28" s="114">
        <f>PRODUCT($BI$5:BI28)</f>
        <v>0.59414444935226851</v>
      </c>
      <c r="BK28" s="112">
        <f>1 - Audit[[#This Row],[K-M P Value]]</f>
        <v>0.40585555064773149</v>
      </c>
      <c r="BL28" s="114" t="str">
        <f>IF(Audit[[#This Row],[K-M P Value]]&gt;1-'General Info'!$B$12,"Continue", "Stop")</f>
        <v>Continue</v>
      </c>
      <c r="BM28" s="113" t="b">
        <f>IF(Audit[[#This Row],[Status - Continue or stop audit]] = "Continue", TRUE, IF(BL27 = "Continue", TRUE, FALSE))</f>
        <v>1</v>
      </c>
      <c r="BN28" s="113"/>
    </row>
    <row r="29" spans="1:66" ht="15" hidden="1" customHeight="1" x14ac:dyDescent="0.35">
      <c r="A29" s="114" t="str">
        <f>'Sampling Data'!AI29</f>
        <v/>
      </c>
      <c r="B29" s="114" t="str">
        <f>'Sampling Data'!A29</f>
        <v>0301 CIN 3-A   (AV)</v>
      </c>
      <c r="C29" s="114">
        <f>'Sampling Data'!B29</f>
        <v>21</v>
      </c>
      <c r="D29" s="114">
        <f>'Sampling Data'!C29</f>
        <v>0</v>
      </c>
      <c r="E29" s="115">
        <f>'Sampling Data'!D29</f>
        <v>0</v>
      </c>
      <c r="F29" s="115">
        <f>'Sampling Data'!E29</f>
        <v>0</v>
      </c>
      <c r="G29" s="115">
        <f>'Sampling Data'!F29</f>
        <v>0</v>
      </c>
      <c r="H29" s="115">
        <f>'Sampling Data'!G29</f>
        <v>0</v>
      </c>
      <c r="I29" s="115">
        <f>'Sampling Data'!H29</f>
        <v>0</v>
      </c>
      <c r="J29" s="115">
        <f>'Sampling Data'!I29</f>
        <v>0</v>
      </c>
      <c r="K29" s="115">
        <f>'Sampling Data'!J29</f>
        <v>0</v>
      </c>
      <c r="L29" s="115">
        <f>'Sampling Data'!K29</f>
        <v>0</v>
      </c>
      <c r="M29" s="115">
        <f>'Sampling Data'!L29</f>
        <v>0</v>
      </c>
      <c r="N29" s="115">
        <f>'Sampling Data'!M29</f>
        <v>0</v>
      </c>
      <c r="O29" s="114">
        <f>'Sampling Data'!N29</f>
        <v>0</v>
      </c>
      <c r="P29" s="114">
        <f>'Sampling Data'!O29</f>
        <v>1</v>
      </c>
      <c r="Q29" s="114">
        <f>'Sampling Data'!P29</f>
        <v>22</v>
      </c>
      <c r="R29" s="114">
        <f>'Sampling Data'!AJ29</f>
        <v>0</v>
      </c>
      <c r="S29" s="116"/>
      <c r="T29" s="116"/>
      <c r="U29" s="117"/>
      <c r="V29" s="117"/>
      <c r="W29" s="116"/>
      <c r="X29" s="116"/>
      <c r="Y29" s="116"/>
      <c r="Z29" s="116"/>
      <c r="AA29" s="15"/>
      <c r="AB29" s="15"/>
      <c r="AC29" s="15"/>
      <c r="AD29" s="15"/>
      <c r="AE29" s="118" t="str">
        <f>IF(NOT(ISBLANK(Audit[[#This Row],[Audit Winning Candidate]])), Audit[[#This Row],[Audit Winning Candidate]]-Audit[[#This Row],[Winning Candidate]], "")</f>
        <v/>
      </c>
      <c r="AF29" s="114" t="str">
        <f>IF(NOT(ISBLANK(Audit[[#This Row],[Audit Losing Candidate]])), Audit[[#This Row],[Audit Losing Candidate]]-Audit[[#This Row],[Losing Candidate]], "")</f>
        <v/>
      </c>
      <c r="AG29" s="114" t="str">
        <f>IF(NOT(ISBLANK(Audit[[#This Row],[Audit Candidate 3]])), Audit[[#This Row],[Audit Candidate 3]]-Audit[[#This Row],[Candidate 3]], "")</f>
        <v/>
      </c>
      <c r="AH29" s="114" t="str">
        <f>IF(NOT(ISBLANK(Audit[[#This Row],[Audit Candidate 4]])),Audit[[#This Row],[Audit Candidate 4]]-Audit[[#This Row],[Candidate 4]], "")</f>
        <v/>
      </c>
      <c r="AI29" s="114" t="str">
        <f>IF(NOT(ISBLANK(Audit[[#This Row],[Audit Candidate 5]])), Audit[[#This Row],[Audit Candidate 5]]-Audit[[#This Row],[Candidate 5]], "")</f>
        <v/>
      </c>
      <c r="AJ29" s="114" t="str">
        <f>IF(NOT(ISBLANK(Audit[[#This Row],[Audit Candidate 6]])), Audit[[#This Row],[Audit Candidate 6]]-Audit[[#This Row],[Candidate 6]], "")</f>
        <v/>
      </c>
      <c r="AK29" s="114" t="str">
        <f>IF(NOT(ISBLANK(Audit[[#This Row],[Audit Candidate 7]])), Audit[[#This Row],[Audit Candidate 7]]-Audit[[#This Row],[Candidate 7]], "")</f>
        <v/>
      </c>
      <c r="AL29" s="114" t="str">
        <f>IF(NOT(ISBLANK(Audit[[#This Row],[Audit Candidate 8]])), Audit[[#This Row],[Audit Candidate 8]]-Audit[[#This Row],[Candidate 8]], "")</f>
        <v/>
      </c>
      <c r="AM29" s="114" t="str">
        <f>IF(NOT(ISBLANK(Audit[[#This Row],[Audit Candidate 9]])), Audit[[#This Row],[Audit Candidate 9]]-Audit[[#This Row],[Candidate 9]], "")</f>
        <v/>
      </c>
      <c r="AN29" s="114" t="str">
        <f>IF(NOT(ISBLANK(Audit[[#This Row],[Audit Candidate 10]])), Audit[[#This Row],[Audit Candidate 10]]-Audit[[#This Row],[Candidate 10]], "")</f>
        <v/>
      </c>
      <c r="AO29" s="114" t="str">
        <f>IF(NOT(ISBLANK(Audit[[#This Row],[Audit Candidate 11]])), Audit[[#This Row],[Audit Candidate 11]]-Audit[[#This Row],[Candidate 11]], "")</f>
        <v/>
      </c>
      <c r="AP29" s="114" t="str">
        <f>IF(NOT(ISBLANK(Audit[[#This Row],[Audit Candidate 12]])), Audit[[#This Row],[Audit Candidate 12]]-Audit[[#This Row],[Candidate 12]], "")</f>
        <v/>
      </c>
      <c r="AQ29" s="114">
        <f>SUMIF(Audit[[#This Row],[Difference Winner]:[Difference Candidate 12]], "&gt;0")</f>
        <v>0</v>
      </c>
      <c r="AR29" s="114">
        <f>SUM(Audit[[#This Row],[Difference Winner]:[Difference Candidate 12]])</f>
        <v>0</v>
      </c>
      <c r="AS29" s="114">
        <f>IF(Audit[[#This Row],[Times p Drawn - With Replacement]]&gt;0, IF(Audit[[#This Row],[Canceled Differences]]&lt;0, Audit[[#This Row],[Max Differences]]+ABS(Audit[[#This Row],[Canceled Differences]]), Audit[[#This Row],[Max Differences]]), 0)</f>
        <v>0</v>
      </c>
      <c r="AT29" s="114">
        <f>'Sampling Data'!AB29</f>
        <v>2.7179065798622086E-3</v>
      </c>
      <c r="AU29" s="114">
        <f>IF(
      SUM(Audit[[#This Row],[Audit Losing Candidate]:[Audit Candidate 12]])
      &lt;&gt;0,
      (Audit[[#This Row],[Winning Candidate]]-Audit[[#This Row],[Losing Candidate]]-(Audit[[#This Row],[Audit Winning Candidate]]-Audit[[#This Row],[Audit Losing Candidate]]))/(Audit[[#Totals],[Winning Candidate]]-Audit[[#Totals],[Losing Candidate]]),
      0
)</f>
        <v>0</v>
      </c>
      <c r="AV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 s="114">
        <f>IF(Audit[[#This Row],[Max Relative Error (ep)]] = 0, 0, Audit[[#This Row],[Max Relative Error (ep)]]/Audit[[#This Row],[Error Bound (up) - Max. possible relative overstatement]])</f>
        <v>0</v>
      </c>
      <c r="BH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 s="114">
        <f t="shared" si="1"/>
        <v>1</v>
      </c>
      <c r="BJ29" s="114">
        <f>PRODUCT($BI$5:BI29)</f>
        <v>0.59414444935226851</v>
      </c>
      <c r="BK29" s="112">
        <f>1 - Audit[[#This Row],[K-M P Value]]</f>
        <v>0.40585555064773149</v>
      </c>
      <c r="BL29" s="114" t="str">
        <f>IF(Audit[[#This Row],[K-M P Value]]&gt;1-'General Info'!$B$12,"Continue", "Stop")</f>
        <v>Continue</v>
      </c>
      <c r="BM29" s="113" t="b">
        <f>IF(Audit[[#This Row],[Status - Continue or stop audit]] = "Continue", TRUE, IF(BL28 = "Continue", TRUE, FALSE))</f>
        <v>1</v>
      </c>
      <c r="BN29" s="113"/>
    </row>
    <row r="30" spans="1:66" ht="15" hidden="1" customHeight="1" x14ac:dyDescent="0.35">
      <c r="A30" s="114" t="str">
        <f>'Sampling Data'!AI30</f>
        <v/>
      </c>
      <c r="B30" s="114" t="str">
        <f>'Sampling Data'!A30</f>
        <v>0302 CIN 3-B   (AV)</v>
      </c>
      <c r="C30" s="114">
        <f>'Sampling Data'!B30</f>
        <v>10</v>
      </c>
      <c r="D30" s="114">
        <f>'Sampling Data'!C30</f>
        <v>6</v>
      </c>
      <c r="E30" s="115">
        <f>'Sampling Data'!D30</f>
        <v>1</v>
      </c>
      <c r="F30" s="115">
        <f>'Sampling Data'!E30</f>
        <v>0</v>
      </c>
      <c r="G30" s="115">
        <f>'Sampling Data'!F30</f>
        <v>0</v>
      </c>
      <c r="H30" s="115">
        <f>'Sampling Data'!G30</f>
        <v>0</v>
      </c>
      <c r="I30" s="115">
        <f>'Sampling Data'!H30</f>
        <v>0</v>
      </c>
      <c r="J30" s="115">
        <f>'Sampling Data'!I30</f>
        <v>0</v>
      </c>
      <c r="K30" s="115">
        <f>'Sampling Data'!J30</f>
        <v>0</v>
      </c>
      <c r="L30" s="115">
        <f>'Sampling Data'!K30</f>
        <v>0</v>
      </c>
      <c r="M30" s="115">
        <f>'Sampling Data'!L30</f>
        <v>0</v>
      </c>
      <c r="N30" s="115">
        <f>'Sampling Data'!M30</f>
        <v>0</v>
      </c>
      <c r="O30" s="114">
        <f>'Sampling Data'!N30</f>
        <v>0</v>
      </c>
      <c r="P30" s="114">
        <f>'Sampling Data'!O30</f>
        <v>0</v>
      </c>
      <c r="Q30" s="114">
        <f>'Sampling Data'!P30</f>
        <v>17</v>
      </c>
      <c r="R30" s="114">
        <f>'Sampling Data'!AJ30</f>
        <v>0</v>
      </c>
      <c r="S30" s="116"/>
      <c r="T30" s="116"/>
      <c r="U30" s="117"/>
      <c r="V30" s="117"/>
      <c r="W30" s="116"/>
      <c r="X30" s="116"/>
      <c r="Y30" s="116"/>
      <c r="Z30" s="116"/>
      <c r="AA30" s="15"/>
      <c r="AB30" s="15"/>
      <c r="AC30" s="15"/>
      <c r="AD30" s="15"/>
      <c r="AE30" s="118" t="str">
        <f>IF(NOT(ISBLANK(Audit[[#This Row],[Audit Winning Candidate]])), Audit[[#This Row],[Audit Winning Candidate]]-Audit[[#This Row],[Winning Candidate]], "")</f>
        <v/>
      </c>
      <c r="AF30" s="114" t="str">
        <f>IF(NOT(ISBLANK(Audit[[#This Row],[Audit Losing Candidate]])), Audit[[#This Row],[Audit Losing Candidate]]-Audit[[#This Row],[Losing Candidate]], "")</f>
        <v/>
      </c>
      <c r="AG30" s="114" t="str">
        <f>IF(NOT(ISBLANK(Audit[[#This Row],[Audit Candidate 3]])), Audit[[#This Row],[Audit Candidate 3]]-Audit[[#This Row],[Candidate 3]], "")</f>
        <v/>
      </c>
      <c r="AH30" s="114" t="str">
        <f>IF(NOT(ISBLANK(Audit[[#This Row],[Audit Candidate 4]])),Audit[[#This Row],[Audit Candidate 4]]-Audit[[#This Row],[Candidate 4]], "")</f>
        <v/>
      </c>
      <c r="AI30" s="114" t="str">
        <f>IF(NOT(ISBLANK(Audit[[#This Row],[Audit Candidate 5]])), Audit[[#This Row],[Audit Candidate 5]]-Audit[[#This Row],[Candidate 5]], "")</f>
        <v/>
      </c>
      <c r="AJ30" s="114" t="str">
        <f>IF(NOT(ISBLANK(Audit[[#This Row],[Audit Candidate 6]])), Audit[[#This Row],[Audit Candidate 6]]-Audit[[#This Row],[Candidate 6]], "")</f>
        <v/>
      </c>
      <c r="AK30" s="114" t="str">
        <f>IF(NOT(ISBLANK(Audit[[#This Row],[Audit Candidate 7]])), Audit[[#This Row],[Audit Candidate 7]]-Audit[[#This Row],[Candidate 7]], "")</f>
        <v/>
      </c>
      <c r="AL30" s="114" t="str">
        <f>IF(NOT(ISBLANK(Audit[[#This Row],[Audit Candidate 8]])), Audit[[#This Row],[Audit Candidate 8]]-Audit[[#This Row],[Candidate 8]], "")</f>
        <v/>
      </c>
      <c r="AM30" s="114" t="str">
        <f>IF(NOT(ISBLANK(Audit[[#This Row],[Audit Candidate 9]])), Audit[[#This Row],[Audit Candidate 9]]-Audit[[#This Row],[Candidate 9]], "")</f>
        <v/>
      </c>
      <c r="AN30" s="114" t="str">
        <f>IF(NOT(ISBLANK(Audit[[#This Row],[Audit Candidate 10]])), Audit[[#This Row],[Audit Candidate 10]]-Audit[[#This Row],[Candidate 10]], "")</f>
        <v/>
      </c>
      <c r="AO30" s="114" t="str">
        <f>IF(NOT(ISBLANK(Audit[[#This Row],[Audit Candidate 11]])), Audit[[#This Row],[Audit Candidate 11]]-Audit[[#This Row],[Candidate 11]], "")</f>
        <v/>
      </c>
      <c r="AP30" s="114" t="str">
        <f>IF(NOT(ISBLANK(Audit[[#This Row],[Audit Candidate 12]])), Audit[[#This Row],[Audit Candidate 12]]-Audit[[#This Row],[Candidate 12]], "")</f>
        <v/>
      </c>
      <c r="AQ30" s="114">
        <f>SUMIF(Audit[[#This Row],[Difference Winner]:[Difference Candidate 12]], "&gt;0")</f>
        <v>0</v>
      </c>
      <c r="AR30" s="114">
        <f>SUM(Audit[[#This Row],[Difference Winner]:[Difference Candidate 12]])</f>
        <v>0</v>
      </c>
      <c r="AS30" s="114">
        <f>IF(Audit[[#This Row],[Times p Drawn - With Replacement]]&gt;0, IF(Audit[[#This Row],[Canceled Differences]]&lt;0, Audit[[#This Row],[Max Differences]]+ABS(Audit[[#This Row],[Canceled Differences]]), Audit[[#This Row],[Max Differences]]), 0)</f>
        <v>0</v>
      </c>
      <c r="AT30" s="114">
        <f>'Sampling Data'!AB30</f>
        <v>1.4675999096861595E-3</v>
      </c>
      <c r="AU30" s="114">
        <f>IF(
      SUM(Audit[[#This Row],[Audit Losing Candidate]:[Audit Candidate 12]])
      &lt;&gt;0,
      (Audit[[#This Row],[Winning Candidate]]-Audit[[#This Row],[Losing Candidate]]-(Audit[[#This Row],[Audit Winning Candidate]]-Audit[[#This Row],[Audit Losing Candidate]]))/(Audit[[#Totals],[Winning Candidate]]-Audit[[#Totals],[Losing Candidate]]),
      0
)</f>
        <v>0</v>
      </c>
      <c r="AV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 s="114">
        <f>IF(Audit[[#This Row],[Max Relative Error (ep)]] = 0, 0, Audit[[#This Row],[Max Relative Error (ep)]]/Audit[[#This Row],[Error Bound (up) - Max. possible relative overstatement]])</f>
        <v>0</v>
      </c>
      <c r="BH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 s="114">
        <f t="shared" si="1"/>
        <v>1</v>
      </c>
      <c r="BJ30" s="114">
        <f>PRODUCT($BI$5:BI30)</f>
        <v>0.59414444935226851</v>
      </c>
      <c r="BK30" s="112">
        <f>1 - Audit[[#This Row],[K-M P Value]]</f>
        <v>0.40585555064773149</v>
      </c>
      <c r="BL30" s="114" t="str">
        <f>IF(Audit[[#This Row],[K-M P Value]]&gt;1-'General Info'!$B$12,"Continue", "Stop")</f>
        <v>Continue</v>
      </c>
      <c r="BM30" s="113" t="b">
        <f>IF(Audit[[#This Row],[Status - Continue or stop audit]] = "Continue", TRUE, IF(BL29 = "Continue", TRUE, FALSE))</f>
        <v>1</v>
      </c>
      <c r="BN30" s="113"/>
    </row>
    <row r="31" spans="1:66" ht="15" hidden="1" customHeight="1" x14ac:dyDescent="0.35">
      <c r="A31" s="114" t="str">
        <f>'Sampling Data'!AI31</f>
        <v/>
      </c>
      <c r="B31" s="114" t="str">
        <f>'Sampling Data'!A31</f>
        <v>0303 CIN 3-C   (AV)</v>
      </c>
      <c r="C31" s="114">
        <f>'Sampling Data'!B31</f>
        <v>52</v>
      </c>
      <c r="D31" s="114">
        <f>'Sampling Data'!C31</f>
        <v>6</v>
      </c>
      <c r="E31" s="115">
        <f>'Sampling Data'!D31</f>
        <v>5</v>
      </c>
      <c r="F31" s="115">
        <f>'Sampling Data'!E31</f>
        <v>0</v>
      </c>
      <c r="G31" s="115">
        <f>'Sampling Data'!F31</f>
        <v>0</v>
      </c>
      <c r="H31" s="115">
        <f>'Sampling Data'!G31</f>
        <v>0</v>
      </c>
      <c r="I31" s="115">
        <f>'Sampling Data'!H31</f>
        <v>0</v>
      </c>
      <c r="J31" s="115">
        <f>'Sampling Data'!I31</f>
        <v>0</v>
      </c>
      <c r="K31" s="115">
        <f>'Sampling Data'!J31</f>
        <v>0</v>
      </c>
      <c r="L31" s="115">
        <f>'Sampling Data'!K31</f>
        <v>0</v>
      </c>
      <c r="M31" s="115">
        <f>'Sampling Data'!L31</f>
        <v>0</v>
      </c>
      <c r="N31" s="115">
        <f>'Sampling Data'!M31</f>
        <v>0</v>
      </c>
      <c r="O31" s="114">
        <f>'Sampling Data'!N31</f>
        <v>0</v>
      </c>
      <c r="P31" s="114">
        <f>'Sampling Data'!O31</f>
        <v>2</v>
      </c>
      <c r="Q31" s="114">
        <f>'Sampling Data'!P31</f>
        <v>65</v>
      </c>
      <c r="R31" s="114">
        <f>'Sampling Data'!AJ31</f>
        <v>0</v>
      </c>
      <c r="S31" s="116"/>
      <c r="T31" s="116"/>
      <c r="U31" s="117"/>
      <c r="V31" s="117"/>
      <c r="W31" s="116"/>
      <c r="X31" s="116"/>
      <c r="Y31" s="116"/>
      <c r="Z31" s="116"/>
      <c r="AA31" s="15"/>
      <c r="AB31" s="15"/>
      <c r="AC31" s="15"/>
      <c r="AD31" s="15"/>
      <c r="AE31" s="118" t="str">
        <f>IF(NOT(ISBLANK(Audit[[#This Row],[Audit Winning Candidate]])), Audit[[#This Row],[Audit Winning Candidate]]-Audit[[#This Row],[Winning Candidate]], "")</f>
        <v/>
      </c>
      <c r="AF31" s="114" t="str">
        <f>IF(NOT(ISBLANK(Audit[[#This Row],[Audit Losing Candidate]])), Audit[[#This Row],[Audit Losing Candidate]]-Audit[[#This Row],[Losing Candidate]], "")</f>
        <v/>
      </c>
      <c r="AG31" s="114" t="str">
        <f>IF(NOT(ISBLANK(Audit[[#This Row],[Audit Candidate 3]])), Audit[[#This Row],[Audit Candidate 3]]-Audit[[#This Row],[Candidate 3]], "")</f>
        <v/>
      </c>
      <c r="AH31" s="114" t="str">
        <f>IF(NOT(ISBLANK(Audit[[#This Row],[Audit Candidate 4]])),Audit[[#This Row],[Audit Candidate 4]]-Audit[[#This Row],[Candidate 4]], "")</f>
        <v/>
      </c>
      <c r="AI31" s="114" t="str">
        <f>IF(NOT(ISBLANK(Audit[[#This Row],[Audit Candidate 5]])), Audit[[#This Row],[Audit Candidate 5]]-Audit[[#This Row],[Candidate 5]], "")</f>
        <v/>
      </c>
      <c r="AJ31" s="114" t="str">
        <f>IF(NOT(ISBLANK(Audit[[#This Row],[Audit Candidate 6]])), Audit[[#This Row],[Audit Candidate 6]]-Audit[[#This Row],[Candidate 6]], "")</f>
        <v/>
      </c>
      <c r="AK31" s="114" t="str">
        <f>IF(NOT(ISBLANK(Audit[[#This Row],[Audit Candidate 7]])), Audit[[#This Row],[Audit Candidate 7]]-Audit[[#This Row],[Candidate 7]], "")</f>
        <v/>
      </c>
      <c r="AL31" s="114" t="str">
        <f>IF(NOT(ISBLANK(Audit[[#This Row],[Audit Candidate 8]])), Audit[[#This Row],[Audit Candidate 8]]-Audit[[#This Row],[Candidate 8]], "")</f>
        <v/>
      </c>
      <c r="AM31" s="114" t="str">
        <f>IF(NOT(ISBLANK(Audit[[#This Row],[Audit Candidate 9]])), Audit[[#This Row],[Audit Candidate 9]]-Audit[[#This Row],[Candidate 9]], "")</f>
        <v/>
      </c>
      <c r="AN31" s="114" t="str">
        <f>IF(NOT(ISBLANK(Audit[[#This Row],[Audit Candidate 10]])), Audit[[#This Row],[Audit Candidate 10]]-Audit[[#This Row],[Candidate 10]], "")</f>
        <v/>
      </c>
      <c r="AO31" s="114" t="str">
        <f>IF(NOT(ISBLANK(Audit[[#This Row],[Audit Candidate 11]])), Audit[[#This Row],[Audit Candidate 11]]-Audit[[#This Row],[Candidate 11]], "")</f>
        <v/>
      </c>
      <c r="AP31" s="114" t="str">
        <f>IF(NOT(ISBLANK(Audit[[#This Row],[Audit Candidate 12]])), Audit[[#This Row],[Audit Candidate 12]]-Audit[[#This Row],[Candidate 12]], "")</f>
        <v/>
      </c>
      <c r="AQ31" s="114">
        <f>SUMIF(Audit[[#This Row],[Difference Winner]:[Difference Candidate 12]], "&gt;0")</f>
        <v>0</v>
      </c>
      <c r="AR31" s="114">
        <f>SUM(Audit[[#This Row],[Difference Winner]:[Difference Candidate 12]])</f>
        <v>0</v>
      </c>
      <c r="AS31" s="114">
        <f>IF(Audit[[#This Row],[Times p Drawn - With Replacement]]&gt;0, IF(Audit[[#This Row],[Canceled Differences]]&lt;0, Audit[[#This Row],[Max Differences]]+ABS(Audit[[#This Row],[Canceled Differences]]), Audit[[#This Row],[Max Differences]]), 0)</f>
        <v>0</v>
      </c>
      <c r="AT31" s="114">
        <f>'Sampling Data'!AB31</f>
        <v>7.015991403830352E-3</v>
      </c>
      <c r="AU31" s="114">
        <f>IF(
      SUM(Audit[[#This Row],[Audit Losing Candidate]:[Audit Candidate 12]])
      &lt;&gt;0,
      (Audit[[#This Row],[Winning Candidate]]-Audit[[#This Row],[Losing Candidate]]-(Audit[[#This Row],[Audit Winning Candidate]]-Audit[[#This Row],[Audit Losing Candidate]]))/(Audit[[#Totals],[Winning Candidate]]-Audit[[#Totals],[Losing Candidate]]),
      0
)</f>
        <v>0</v>
      </c>
      <c r="AV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 s="114">
        <f>IF(Audit[[#This Row],[Max Relative Error (ep)]] = 0, 0, Audit[[#This Row],[Max Relative Error (ep)]]/Audit[[#This Row],[Error Bound (up) - Max. possible relative overstatement]])</f>
        <v>0</v>
      </c>
      <c r="BH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 s="114">
        <f t="shared" si="1"/>
        <v>1</v>
      </c>
      <c r="BJ31" s="114">
        <f>PRODUCT($BI$5:BI31)</f>
        <v>0.59414444935226851</v>
      </c>
      <c r="BK31" s="112">
        <f>1 - Audit[[#This Row],[K-M P Value]]</f>
        <v>0.40585555064773149</v>
      </c>
      <c r="BL31" s="114" t="str">
        <f>IF(Audit[[#This Row],[K-M P Value]]&gt;1-'General Info'!$B$12,"Continue", "Stop")</f>
        <v>Continue</v>
      </c>
      <c r="BM31" s="113" t="b">
        <f>IF(Audit[[#This Row],[Status - Continue or stop audit]] = "Continue", TRUE, IF(BL30 = "Continue", TRUE, FALSE))</f>
        <v>1</v>
      </c>
      <c r="BN31" s="113"/>
    </row>
    <row r="32" spans="1:66" ht="15" hidden="1" customHeight="1" x14ac:dyDescent="0.35">
      <c r="A32" s="114" t="str">
        <f>'Sampling Data'!AI32</f>
        <v/>
      </c>
      <c r="B32" s="114" t="str">
        <f>'Sampling Data'!A32</f>
        <v>0304 CIN 3-D   (AV)</v>
      </c>
      <c r="C32" s="114">
        <f>'Sampling Data'!B32</f>
        <v>20</v>
      </c>
      <c r="D32" s="114">
        <f>'Sampling Data'!C32</f>
        <v>0</v>
      </c>
      <c r="E32" s="115">
        <f>'Sampling Data'!D32</f>
        <v>0</v>
      </c>
      <c r="F32" s="115">
        <f>'Sampling Data'!E32</f>
        <v>0</v>
      </c>
      <c r="G32" s="115">
        <f>'Sampling Data'!F32</f>
        <v>0</v>
      </c>
      <c r="H32" s="115">
        <f>'Sampling Data'!G32</f>
        <v>0</v>
      </c>
      <c r="I32" s="115">
        <f>'Sampling Data'!H32</f>
        <v>0</v>
      </c>
      <c r="J32" s="115">
        <f>'Sampling Data'!I32</f>
        <v>0</v>
      </c>
      <c r="K32" s="115">
        <f>'Sampling Data'!J32</f>
        <v>0</v>
      </c>
      <c r="L32" s="115">
        <f>'Sampling Data'!K32</f>
        <v>0</v>
      </c>
      <c r="M32" s="115">
        <f>'Sampling Data'!L32</f>
        <v>0</v>
      </c>
      <c r="N32" s="115">
        <f>'Sampling Data'!M32</f>
        <v>0</v>
      </c>
      <c r="O32" s="114">
        <f>'Sampling Data'!N32</f>
        <v>0</v>
      </c>
      <c r="P32" s="114">
        <f>'Sampling Data'!O32</f>
        <v>0</v>
      </c>
      <c r="Q32" s="114">
        <f>'Sampling Data'!P32</f>
        <v>20</v>
      </c>
      <c r="R32" s="114">
        <f>'Sampling Data'!AJ32</f>
        <v>0</v>
      </c>
      <c r="S32" s="116"/>
      <c r="T32" s="116"/>
      <c r="U32" s="117"/>
      <c r="V32" s="117"/>
      <c r="W32" s="116"/>
      <c r="X32" s="116"/>
      <c r="Y32" s="116"/>
      <c r="Z32" s="116"/>
      <c r="AA32" s="15"/>
      <c r="AB32" s="15"/>
      <c r="AC32" s="15"/>
      <c r="AD32" s="15"/>
      <c r="AE32" s="118" t="str">
        <f>IF(NOT(ISBLANK(Audit[[#This Row],[Audit Winning Candidate]])), Audit[[#This Row],[Audit Winning Candidate]]-Audit[[#This Row],[Winning Candidate]], "")</f>
        <v/>
      </c>
      <c r="AF32" s="114" t="str">
        <f>IF(NOT(ISBLANK(Audit[[#This Row],[Audit Losing Candidate]])), Audit[[#This Row],[Audit Losing Candidate]]-Audit[[#This Row],[Losing Candidate]], "")</f>
        <v/>
      </c>
      <c r="AG32" s="114" t="str">
        <f>IF(NOT(ISBLANK(Audit[[#This Row],[Audit Candidate 3]])), Audit[[#This Row],[Audit Candidate 3]]-Audit[[#This Row],[Candidate 3]], "")</f>
        <v/>
      </c>
      <c r="AH32" s="114" t="str">
        <f>IF(NOT(ISBLANK(Audit[[#This Row],[Audit Candidate 4]])),Audit[[#This Row],[Audit Candidate 4]]-Audit[[#This Row],[Candidate 4]], "")</f>
        <v/>
      </c>
      <c r="AI32" s="114" t="str">
        <f>IF(NOT(ISBLANK(Audit[[#This Row],[Audit Candidate 5]])), Audit[[#This Row],[Audit Candidate 5]]-Audit[[#This Row],[Candidate 5]], "")</f>
        <v/>
      </c>
      <c r="AJ32" s="114" t="str">
        <f>IF(NOT(ISBLANK(Audit[[#This Row],[Audit Candidate 6]])), Audit[[#This Row],[Audit Candidate 6]]-Audit[[#This Row],[Candidate 6]], "")</f>
        <v/>
      </c>
      <c r="AK32" s="114" t="str">
        <f>IF(NOT(ISBLANK(Audit[[#This Row],[Audit Candidate 7]])), Audit[[#This Row],[Audit Candidate 7]]-Audit[[#This Row],[Candidate 7]], "")</f>
        <v/>
      </c>
      <c r="AL32" s="114" t="str">
        <f>IF(NOT(ISBLANK(Audit[[#This Row],[Audit Candidate 8]])), Audit[[#This Row],[Audit Candidate 8]]-Audit[[#This Row],[Candidate 8]], "")</f>
        <v/>
      </c>
      <c r="AM32" s="114" t="str">
        <f>IF(NOT(ISBLANK(Audit[[#This Row],[Audit Candidate 9]])), Audit[[#This Row],[Audit Candidate 9]]-Audit[[#This Row],[Candidate 9]], "")</f>
        <v/>
      </c>
      <c r="AN32" s="114" t="str">
        <f>IF(NOT(ISBLANK(Audit[[#This Row],[Audit Candidate 10]])), Audit[[#This Row],[Audit Candidate 10]]-Audit[[#This Row],[Candidate 10]], "")</f>
        <v/>
      </c>
      <c r="AO32" s="114" t="str">
        <f>IF(NOT(ISBLANK(Audit[[#This Row],[Audit Candidate 11]])), Audit[[#This Row],[Audit Candidate 11]]-Audit[[#This Row],[Candidate 11]], "")</f>
        <v/>
      </c>
      <c r="AP32" s="114" t="str">
        <f>IF(NOT(ISBLANK(Audit[[#This Row],[Audit Candidate 12]])), Audit[[#This Row],[Audit Candidate 12]]-Audit[[#This Row],[Candidate 12]], "")</f>
        <v/>
      </c>
      <c r="AQ32" s="114">
        <f>SUMIF(Audit[[#This Row],[Difference Winner]:[Difference Candidate 12]], "&gt;0")</f>
        <v>0</v>
      </c>
      <c r="AR32" s="114">
        <f>SUM(Audit[[#This Row],[Difference Winner]:[Difference Candidate 12]])</f>
        <v>0</v>
      </c>
      <c r="AS32" s="114">
        <f>IF(Audit[[#This Row],[Times p Drawn - With Replacement]]&gt;0, IF(Audit[[#This Row],[Canceled Differences]]&lt;0, Audit[[#This Row],[Max Differences]]+ABS(Audit[[#This Row],[Canceled Differences]]), Audit[[#This Row],[Max Differences]]), 0)</f>
        <v>0</v>
      </c>
      <c r="AT32" s="114">
        <f>'Sampling Data'!AB32</f>
        <v>2.5282851905694963E-3</v>
      </c>
      <c r="AU32" s="114">
        <f>IF(
      SUM(Audit[[#This Row],[Audit Losing Candidate]:[Audit Candidate 12]])
      &lt;&gt;0,
      (Audit[[#This Row],[Winning Candidate]]-Audit[[#This Row],[Losing Candidate]]-(Audit[[#This Row],[Audit Winning Candidate]]-Audit[[#This Row],[Audit Losing Candidate]]))/(Audit[[#Totals],[Winning Candidate]]-Audit[[#Totals],[Losing Candidate]]),
      0
)</f>
        <v>0</v>
      </c>
      <c r="AV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 s="114">
        <f>IF(Audit[[#This Row],[Max Relative Error (ep)]] = 0, 0, Audit[[#This Row],[Max Relative Error (ep)]]/Audit[[#This Row],[Error Bound (up) - Max. possible relative overstatement]])</f>
        <v>0</v>
      </c>
      <c r="BH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 s="114">
        <f t="shared" si="1"/>
        <v>1</v>
      </c>
      <c r="BJ32" s="114">
        <f>PRODUCT($BI$5:BI32)</f>
        <v>0.59414444935226851</v>
      </c>
      <c r="BK32" s="112">
        <f>1 - Audit[[#This Row],[K-M P Value]]</f>
        <v>0.40585555064773149</v>
      </c>
      <c r="BL32" s="114" t="str">
        <f>IF(Audit[[#This Row],[K-M P Value]]&gt;1-'General Info'!$B$12,"Continue", "Stop")</f>
        <v>Continue</v>
      </c>
      <c r="BM32" s="113" t="b">
        <f>IF(Audit[[#This Row],[Status - Continue or stop audit]] = "Continue", TRUE, IF(BL31 = "Continue", TRUE, FALSE))</f>
        <v>1</v>
      </c>
      <c r="BN32" s="113"/>
    </row>
    <row r="33" spans="1:66" ht="15" hidden="1" customHeight="1" x14ac:dyDescent="0.35">
      <c r="A33" s="114" t="str">
        <f>'Sampling Data'!AI33</f>
        <v/>
      </c>
      <c r="B33" s="114" t="str">
        <f>'Sampling Data'!A33</f>
        <v>0305 CIN 3-E   (AV)</v>
      </c>
      <c r="C33" s="114">
        <f>'Sampling Data'!B33</f>
        <v>21</v>
      </c>
      <c r="D33" s="114">
        <f>'Sampling Data'!C33</f>
        <v>1</v>
      </c>
      <c r="E33" s="115">
        <f>'Sampling Data'!D33</f>
        <v>0</v>
      </c>
      <c r="F33" s="115">
        <f>'Sampling Data'!E33</f>
        <v>0</v>
      </c>
      <c r="G33" s="115">
        <f>'Sampling Data'!F33</f>
        <v>0</v>
      </c>
      <c r="H33" s="115">
        <f>'Sampling Data'!G33</f>
        <v>0</v>
      </c>
      <c r="I33" s="115">
        <f>'Sampling Data'!H33</f>
        <v>0</v>
      </c>
      <c r="J33" s="115">
        <f>'Sampling Data'!I33</f>
        <v>0</v>
      </c>
      <c r="K33" s="115">
        <f>'Sampling Data'!J33</f>
        <v>0</v>
      </c>
      <c r="L33" s="115">
        <f>'Sampling Data'!K33</f>
        <v>0</v>
      </c>
      <c r="M33" s="115">
        <f>'Sampling Data'!L33</f>
        <v>0</v>
      </c>
      <c r="N33" s="115">
        <f>'Sampling Data'!M33</f>
        <v>0</v>
      </c>
      <c r="O33" s="114">
        <f>'Sampling Data'!N33</f>
        <v>0</v>
      </c>
      <c r="P33" s="114">
        <f>'Sampling Data'!O33</f>
        <v>0</v>
      </c>
      <c r="Q33" s="114">
        <f>'Sampling Data'!P33</f>
        <v>22</v>
      </c>
      <c r="R33" s="114">
        <f>'Sampling Data'!AJ33</f>
        <v>0</v>
      </c>
      <c r="S33" s="116"/>
      <c r="T33" s="116"/>
      <c r="U33" s="117"/>
      <c r="V33" s="117"/>
      <c r="W33" s="116"/>
      <c r="X33" s="116"/>
      <c r="Y33" s="116"/>
      <c r="Z33" s="116"/>
      <c r="AA33" s="15"/>
      <c r="AB33" s="15"/>
      <c r="AC33" s="15"/>
      <c r="AD33" s="15"/>
      <c r="AE33" s="118" t="str">
        <f>IF(NOT(ISBLANK(Audit[[#This Row],[Audit Winning Candidate]])), Audit[[#This Row],[Audit Winning Candidate]]-Audit[[#This Row],[Winning Candidate]], "")</f>
        <v/>
      </c>
      <c r="AF33" s="114" t="str">
        <f>IF(NOT(ISBLANK(Audit[[#This Row],[Audit Losing Candidate]])), Audit[[#This Row],[Audit Losing Candidate]]-Audit[[#This Row],[Losing Candidate]], "")</f>
        <v/>
      </c>
      <c r="AG33" s="114" t="str">
        <f>IF(NOT(ISBLANK(Audit[[#This Row],[Audit Candidate 3]])), Audit[[#This Row],[Audit Candidate 3]]-Audit[[#This Row],[Candidate 3]], "")</f>
        <v/>
      </c>
      <c r="AH33" s="114" t="str">
        <f>IF(NOT(ISBLANK(Audit[[#This Row],[Audit Candidate 4]])),Audit[[#This Row],[Audit Candidate 4]]-Audit[[#This Row],[Candidate 4]], "")</f>
        <v/>
      </c>
      <c r="AI33" s="114" t="str">
        <f>IF(NOT(ISBLANK(Audit[[#This Row],[Audit Candidate 5]])), Audit[[#This Row],[Audit Candidate 5]]-Audit[[#This Row],[Candidate 5]], "")</f>
        <v/>
      </c>
      <c r="AJ33" s="114" t="str">
        <f>IF(NOT(ISBLANK(Audit[[#This Row],[Audit Candidate 6]])), Audit[[#This Row],[Audit Candidate 6]]-Audit[[#This Row],[Candidate 6]], "")</f>
        <v/>
      </c>
      <c r="AK33" s="114" t="str">
        <f>IF(NOT(ISBLANK(Audit[[#This Row],[Audit Candidate 7]])), Audit[[#This Row],[Audit Candidate 7]]-Audit[[#This Row],[Candidate 7]], "")</f>
        <v/>
      </c>
      <c r="AL33" s="114" t="str">
        <f>IF(NOT(ISBLANK(Audit[[#This Row],[Audit Candidate 8]])), Audit[[#This Row],[Audit Candidate 8]]-Audit[[#This Row],[Candidate 8]], "")</f>
        <v/>
      </c>
      <c r="AM33" s="114" t="str">
        <f>IF(NOT(ISBLANK(Audit[[#This Row],[Audit Candidate 9]])), Audit[[#This Row],[Audit Candidate 9]]-Audit[[#This Row],[Candidate 9]], "")</f>
        <v/>
      </c>
      <c r="AN33" s="114" t="str">
        <f>IF(NOT(ISBLANK(Audit[[#This Row],[Audit Candidate 10]])), Audit[[#This Row],[Audit Candidate 10]]-Audit[[#This Row],[Candidate 10]], "")</f>
        <v/>
      </c>
      <c r="AO33" s="114" t="str">
        <f>IF(NOT(ISBLANK(Audit[[#This Row],[Audit Candidate 11]])), Audit[[#This Row],[Audit Candidate 11]]-Audit[[#This Row],[Candidate 11]], "")</f>
        <v/>
      </c>
      <c r="AP33" s="114" t="str">
        <f>IF(NOT(ISBLANK(Audit[[#This Row],[Audit Candidate 12]])), Audit[[#This Row],[Audit Candidate 12]]-Audit[[#This Row],[Candidate 12]], "")</f>
        <v/>
      </c>
      <c r="AQ33" s="114">
        <f>SUMIF(Audit[[#This Row],[Difference Winner]:[Difference Candidate 12]], "&gt;0")</f>
        <v>0</v>
      </c>
      <c r="AR33" s="114">
        <f>SUM(Audit[[#This Row],[Difference Winner]:[Difference Candidate 12]])</f>
        <v>0</v>
      </c>
      <c r="AS33" s="114">
        <f>IF(Audit[[#This Row],[Times p Drawn - With Replacement]]&gt;0, IF(Audit[[#This Row],[Canceled Differences]]&lt;0, Audit[[#This Row],[Max Differences]]+ABS(Audit[[#This Row],[Canceled Differences]]), Audit[[#This Row],[Max Differences]]), 0)</f>
        <v>0</v>
      </c>
      <c r="AT33" s="114">
        <f>'Sampling Data'!AB33</f>
        <v>2.654699450097971E-3</v>
      </c>
      <c r="AU33" s="114">
        <f>IF(
      SUM(Audit[[#This Row],[Audit Losing Candidate]:[Audit Candidate 12]])
      &lt;&gt;0,
      (Audit[[#This Row],[Winning Candidate]]-Audit[[#This Row],[Losing Candidate]]-(Audit[[#This Row],[Audit Winning Candidate]]-Audit[[#This Row],[Audit Losing Candidate]]))/(Audit[[#Totals],[Winning Candidate]]-Audit[[#Totals],[Losing Candidate]]),
      0
)</f>
        <v>0</v>
      </c>
      <c r="AV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 s="114">
        <f>IF(Audit[[#This Row],[Max Relative Error (ep)]] = 0, 0, Audit[[#This Row],[Max Relative Error (ep)]]/Audit[[#This Row],[Error Bound (up) - Max. possible relative overstatement]])</f>
        <v>0</v>
      </c>
      <c r="BH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 s="114">
        <f t="shared" si="1"/>
        <v>1</v>
      </c>
      <c r="BJ33" s="114">
        <f>PRODUCT($BI$5:BI33)</f>
        <v>0.59414444935226851</v>
      </c>
      <c r="BK33" s="112">
        <f>1 - Audit[[#This Row],[K-M P Value]]</f>
        <v>0.40585555064773149</v>
      </c>
      <c r="BL33" s="114" t="str">
        <f>IF(Audit[[#This Row],[K-M P Value]]&gt;1-'General Info'!$B$12,"Continue", "Stop")</f>
        <v>Continue</v>
      </c>
      <c r="BM33" s="113" t="b">
        <f>IF(Audit[[#This Row],[Status - Continue or stop audit]] = "Continue", TRUE, IF(BL32 = "Continue", TRUE, FALSE))</f>
        <v>1</v>
      </c>
      <c r="BN33" s="113"/>
    </row>
    <row r="34" spans="1:66" ht="15" hidden="1" customHeight="1" x14ac:dyDescent="0.35">
      <c r="A34" s="114" t="str">
        <f>'Sampling Data'!AI34</f>
        <v/>
      </c>
      <c r="B34" s="114" t="str">
        <f>'Sampling Data'!A34</f>
        <v>0401 CIN 4-A   (AV)</v>
      </c>
      <c r="C34" s="114">
        <f>'Sampling Data'!B34</f>
        <v>18</v>
      </c>
      <c r="D34" s="114">
        <f>'Sampling Data'!C34</f>
        <v>6</v>
      </c>
      <c r="E34" s="115">
        <f>'Sampling Data'!D34</f>
        <v>0</v>
      </c>
      <c r="F34" s="115">
        <f>'Sampling Data'!E34</f>
        <v>0</v>
      </c>
      <c r="G34" s="115">
        <f>'Sampling Data'!F34</f>
        <v>0</v>
      </c>
      <c r="H34" s="115">
        <f>'Sampling Data'!G34</f>
        <v>0</v>
      </c>
      <c r="I34" s="115">
        <f>'Sampling Data'!H34</f>
        <v>0</v>
      </c>
      <c r="J34" s="115">
        <f>'Sampling Data'!I34</f>
        <v>0</v>
      </c>
      <c r="K34" s="115">
        <f>'Sampling Data'!J34</f>
        <v>0</v>
      </c>
      <c r="L34" s="115">
        <f>'Sampling Data'!K34</f>
        <v>0</v>
      </c>
      <c r="M34" s="115">
        <f>'Sampling Data'!L34</f>
        <v>0</v>
      </c>
      <c r="N34" s="115">
        <f>'Sampling Data'!M34</f>
        <v>0</v>
      </c>
      <c r="O34" s="114">
        <f>'Sampling Data'!N34</f>
        <v>0</v>
      </c>
      <c r="P34" s="114">
        <f>'Sampling Data'!O34</f>
        <v>0</v>
      </c>
      <c r="Q34" s="114">
        <f>'Sampling Data'!P34</f>
        <v>24</v>
      </c>
      <c r="R34" s="114">
        <f>'Sampling Data'!AJ34</f>
        <v>0</v>
      </c>
      <c r="S34" s="116"/>
      <c r="T34" s="116"/>
      <c r="U34" s="117"/>
      <c r="V34" s="117"/>
      <c r="W34" s="116"/>
      <c r="X34" s="116"/>
      <c r="Y34" s="116"/>
      <c r="Z34" s="116"/>
      <c r="AA34" s="15"/>
      <c r="AB34" s="15"/>
      <c r="AC34" s="15"/>
      <c r="AD34" s="15"/>
      <c r="AE34" s="118" t="str">
        <f>IF(NOT(ISBLANK(Audit[[#This Row],[Audit Winning Candidate]])), Audit[[#This Row],[Audit Winning Candidate]]-Audit[[#This Row],[Winning Candidate]], "")</f>
        <v/>
      </c>
      <c r="AF34" s="114" t="str">
        <f>IF(NOT(ISBLANK(Audit[[#This Row],[Audit Losing Candidate]])), Audit[[#This Row],[Audit Losing Candidate]]-Audit[[#This Row],[Losing Candidate]], "")</f>
        <v/>
      </c>
      <c r="AG34" s="114" t="str">
        <f>IF(NOT(ISBLANK(Audit[[#This Row],[Audit Candidate 3]])), Audit[[#This Row],[Audit Candidate 3]]-Audit[[#This Row],[Candidate 3]], "")</f>
        <v/>
      </c>
      <c r="AH34" s="114" t="str">
        <f>IF(NOT(ISBLANK(Audit[[#This Row],[Audit Candidate 4]])),Audit[[#This Row],[Audit Candidate 4]]-Audit[[#This Row],[Candidate 4]], "")</f>
        <v/>
      </c>
      <c r="AI34" s="114" t="str">
        <f>IF(NOT(ISBLANK(Audit[[#This Row],[Audit Candidate 5]])), Audit[[#This Row],[Audit Candidate 5]]-Audit[[#This Row],[Candidate 5]], "")</f>
        <v/>
      </c>
      <c r="AJ34" s="114" t="str">
        <f>IF(NOT(ISBLANK(Audit[[#This Row],[Audit Candidate 6]])), Audit[[#This Row],[Audit Candidate 6]]-Audit[[#This Row],[Candidate 6]], "")</f>
        <v/>
      </c>
      <c r="AK34" s="114" t="str">
        <f>IF(NOT(ISBLANK(Audit[[#This Row],[Audit Candidate 7]])), Audit[[#This Row],[Audit Candidate 7]]-Audit[[#This Row],[Candidate 7]], "")</f>
        <v/>
      </c>
      <c r="AL34" s="114" t="str">
        <f>IF(NOT(ISBLANK(Audit[[#This Row],[Audit Candidate 8]])), Audit[[#This Row],[Audit Candidate 8]]-Audit[[#This Row],[Candidate 8]], "")</f>
        <v/>
      </c>
      <c r="AM34" s="114" t="str">
        <f>IF(NOT(ISBLANK(Audit[[#This Row],[Audit Candidate 9]])), Audit[[#This Row],[Audit Candidate 9]]-Audit[[#This Row],[Candidate 9]], "")</f>
        <v/>
      </c>
      <c r="AN34" s="114" t="str">
        <f>IF(NOT(ISBLANK(Audit[[#This Row],[Audit Candidate 10]])), Audit[[#This Row],[Audit Candidate 10]]-Audit[[#This Row],[Candidate 10]], "")</f>
        <v/>
      </c>
      <c r="AO34" s="114" t="str">
        <f>IF(NOT(ISBLANK(Audit[[#This Row],[Audit Candidate 11]])), Audit[[#This Row],[Audit Candidate 11]]-Audit[[#This Row],[Candidate 11]], "")</f>
        <v/>
      </c>
      <c r="AP34" s="114" t="str">
        <f>IF(NOT(ISBLANK(Audit[[#This Row],[Audit Candidate 12]])), Audit[[#This Row],[Audit Candidate 12]]-Audit[[#This Row],[Candidate 12]], "")</f>
        <v/>
      </c>
      <c r="AQ34" s="114">
        <f>SUMIF(Audit[[#This Row],[Difference Winner]:[Difference Candidate 12]], "&gt;0")</f>
        <v>0</v>
      </c>
      <c r="AR34" s="114">
        <f>SUM(Audit[[#This Row],[Difference Winner]:[Difference Candidate 12]])</f>
        <v>0</v>
      </c>
      <c r="AS34" s="114">
        <f>IF(Audit[[#This Row],[Times p Drawn - With Replacement]]&gt;0, IF(Audit[[#This Row],[Canceled Differences]]&lt;0, Audit[[#This Row],[Max Differences]]+ABS(Audit[[#This Row],[Canceled Differences]]), Audit[[#This Row],[Max Differences]]), 0)</f>
        <v>0</v>
      </c>
      <c r="AT34" s="114">
        <f>'Sampling Data'!AB34</f>
        <v>2.3707383156468731E-3</v>
      </c>
      <c r="AU34" s="114">
        <f>IF(
      SUM(Audit[[#This Row],[Audit Losing Candidate]:[Audit Candidate 12]])
      &lt;&gt;0,
      (Audit[[#This Row],[Winning Candidate]]-Audit[[#This Row],[Losing Candidate]]-(Audit[[#This Row],[Audit Winning Candidate]]-Audit[[#This Row],[Audit Losing Candidate]]))/(Audit[[#Totals],[Winning Candidate]]-Audit[[#Totals],[Losing Candidate]]),
      0
)</f>
        <v>0</v>
      </c>
      <c r="AV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 s="114">
        <f>IF(Audit[[#This Row],[Max Relative Error (ep)]] = 0, 0, Audit[[#This Row],[Max Relative Error (ep)]]/Audit[[#This Row],[Error Bound (up) - Max. possible relative overstatement]])</f>
        <v>0</v>
      </c>
      <c r="BH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 s="114">
        <f t="shared" si="1"/>
        <v>1</v>
      </c>
      <c r="BJ34" s="114">
        <f>PRODUCT($BI$5:BI34)</f>
        <v>0.59414444935226851</v>
      </c>
      <c r="BK34" s="112">
        <f>1 - Audit[[#This Row],[K-M P Value]]</f>
        <v>0.40585555064773149</v>
      </c>
      <c r="BL34" s="114" t="str">
        <f>IF(Audit[[#This Row],[K-M P Value]]&gt;1-'General Info'!$B$12,"Continue", "Stop")</f>
        <v>Continue</v>
      </c>
      <c r="BM34" s="113" t="b">
        <f>IF(Audit[[#This Row],[Status - Continue or stop audit]] = "Continue", TRUE, IF(BL33 = "Continue", TRUE, FALSE))</f>
        <v>1</v>
      </c>
      <c r="BN34" s="113"/>
    </row>
    <row r="35" spans="1:66" ht="15" hidden="1" customHeight="1" x14ac:dyDescent="0.35">
      <c r="A35" s="114" t="str">
        <f>'Sampling Data'!AI35</f>
        <v/>
      </c>
      <c r="B35" s="114" t="str">
        <f>'Sampling Data'!A35</f>
        <v>0402 CIN 4-B   (AV)</v>
      </c>
      <c r="C35" s="114">
        <f>'Sampling Data'!B35</f>
        <v>23</v>
      </c>
      <c r="D35" s="114">
        <f>'Sampling Data'!C35</f>
        <v>5</v>
      </c>
      <c r="E35" s="115">
        <f>'Sampling Data'!D35</f>
        <v>0</v>
      </c>
      <c r="F35" s="115">
        <f>'Sampling Data'!E35</f>
        <v>0</v>
      </c>
      <c r="G35" s="115">
        <f>'Sampling Data'!F35</f>
        <v>0</v>
      </c>
      <c r="H35" s="115">
        <f>'Sampling Data'!G35</f>
        <v>0</v>
      </c>
      <c r="I35" s="115">
        <f>'Sampling Data'!H35</f>
        <v>0</v>
      </c>
      <c r="J35" s="115">
        <f>'Sampling Data'!I35</f>
        <v>0</v>
      </c>
      <c r="K35" s="115">
        <f>'Sampling Data'!J35</f>
        <v>0</v>
      </c>
      <c r="L35" s="115">
        <f>'Sampling Data'!K35</f>
        <v>0</v>
      </c>
      <c r="M35" s="115">
        <f>'Sampling Data'!L35</f>
        <v>0</v>
      </c>
      <c r="N35" s="115">
        <f>'Sampling Data'!M35</f>
        <v>0</v>
      </c>
      <c r="O35" s="114">
        <f>'Sampling Data'!N35</f>
        <v>0</v>
      </c>
      <c r="P35" s="114">
        <f>'Sampling Data'!O35</f>
        <v>1</v>
      </c>
      <c r="Q35" s="114">
        <f>'Sampling Data'!P35</f>
        <v>29</v>
      </c>
      <c r="R35" s="114">
        <f>'Sampling Data'!AJ35</f>
        <v>0</v>
      </c>
      <c r="S35" s="116"/>
      <c r="T35" s="116"/>
      <c r="U35" s="117"/>
      <c r="V35" s="117"/>
      <c r="W35" s="116"/>
      <c r="X35" s="116"/>
      <c r="Y35" s="116"/>
      <c r="Z35" s="116"/>
      <c r="AA35" s="15"/>
      <c r="AB35" s="15"/>
      <c r="AC35" s="15"/>
      <c r="AD35" s="15"/>
      <c r="AE35" s="118" t="str">
        <f>IF(NOT(ISBLANK(Audit[[#This Row],[Audit Winning Candidate]])), Audit[[#This Row],[Audit Winning Candidate]]-Audit[[#This Row],[Winning Candidate]], "")</f>
        <v/>
      </c>
      <c r="AF35" s="114" t="str">
        <f>IF(NOT(ISBLANK(Audit[[#This Row],[Audit Losing Candidate]])), Audit[[#This Row],[Audit Losing Candidate]]-Audit[[#This Row],[Losing Candidate]], "")</f>
        <v/>
      </c>
      <c r="AG35" s="114" t="str">
        <f>IF(NOT(ISBLANK(Audit[[#This Row],[Audit Candidate 3]])), Audit[[#This Row],[Audit Candidate 3]]-Audit[[#This Row],[Candidate 3]], "")</f>
        <v/>
      </c>
      <c r="AH35" s="114" t="str">
        <f>IF(NOT(ISBLANK(Audit[[#This Row],[Audit Candidate 4]])),Audit[[#This Row],[Audit Candidate 4]]-Audit[[#This Row],[Candidate 4]], "")</f>
        <v/>
      </c>
      <c r="AI35" s="114" t="str">
        <f>IF(NOT(ISBLANK(Audit[[#This Row],[Audit Candidate 5]])), Audit[[#This Row],[Audit Candidate 5]]-Audit[[#This Row],[Candidate 5]], "")</f>
        <v/>
      </c>
      <c r="AJ35" s="114" t="str">
        <f>IF(NOT(ISBLANK(Audit[[#This Row],[Audit Candidate 6]])), Audit[[#This Row],[Audit Candidate 6]]-Audit[[#This Row],[Candidate 6]], "")</f>
        <v/>
      </c>
      <c r="AK35" s="114" t="str">
        <f>IF(NOT(ISBLANK(Audit[[#This Row],[Audit Candidate 7]])), Audit[[#This Row],[Audit Candidate 7]]-Audit[[#This Row],[Candidate 7]], "")</f>
        <v/>
      </c>
      <c r="AL35" s="114" t="str">
        <f>IF(NOT(ISBLANK(Audit[[#This Row],[Audit Candidate 8]])), Audit[[#This Row],[Audit Candidate 8]]-Audit[[#This Row],[Candidate 8]], "")</f>
        <v/>
      </c>
      <c r="AM35" s="114" t="str">
        <f>IF(NOT(ISBLANK(Audit[[#This Row],[Audit Candidate 9]])), Audit[[#This Row],[Audit Candidate 9]]-Audit[[#This Row],[Candidate 9]], "")</f>
        <v/>
      </c>
      <c r="AN35" s="114" t="str">
        <f>IF(NOT(ISBLANK(Audit[[#This Row],[Audit Candidate 10]])), Audit[[#This Row],[Audit Candidate 10]]-Audit[[#This Row],[Candidate 10]], "")</f>
        <v/>
      </c>
      <c r="AO35" s="114" t="str">
        <f>IF(NOT(ISBLANK(Audit[[#This Row],[Audit Candidate 11]])), Audit[[#This Row],[Audit Candidate 11]]-Audit[[#This Row],[Candidate 11]], "")</f>
        <v/>
      </c>
      <c r="AP35" s="114" t="str">
        <f>IF(NOT(ISBLANK(Audit[[#This Row],[Audit Candidate 12]])), Audit[[#This Row],[Audit Candidate 12]]-Audit[[#This Row],[Candidate 12]], "")</f>
        <v/>
      </c>
      <c r="AQ35" s="114">
        <f>SUMIF(Audit[[#This Row],[Difference Winner]:[Difference Candidate 12]], "&gt;0")</f>
        <v>0</v>
      </c>
      <c r="AR35" s="114">
        <f>SUM(Audit[[#This Row],[Difference Winner]:[Difference Candidate 12]])</f>
        <v>0</v>
      </c>
      <c r="AS35" s="114">
        <f>IF(Audit[[#This Row],[Times p Drawn - With Replacement]]&gt;0, IF(Audit[[#This Row],[Canceled Differences]]&lt;0, Audit[[#This Row],[Max Differences]]+ABS(Audit[[#This Row],[Canceled Differences]]), Audit[[#This Row],[Max Differences]]), 0)</f>
        <v>0</v>
      </c>
      <c r="AT35" s="114">
        <f>'Sampling Data'!AB35</f>
        <v>2.970735098919158E-3</v>
      </c>
      <c r="AU35" s="114">
        <f>IF(
      SUM(Audit[[#This Row],[Audit Losing Candidate]:[Audit Candidate 12]])
      &lt;&gt;0,
      (Audit[[#This Row],[Winning Candidate]]-Audit[[#This Row],[Losing Candidate]]-(Audit[[#This Row],[Audit Winning Candidate]]-Audit[[#This Row],[Audit Losing Candidate]]))/(Audit[[#Totals],[Winning Candidate]]-Audit[[#Totals],[Losing Candidate]]),
      0
)</f>
        <v>0</v>
      </c>
      <c r="AV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 s="114">
        <f>IF(Audit[[#This Row],[Max Relative Error (ep)]] = 0, 0, Audit[[#This Row],[Max Relative Error (ep)]]/Audit[[#This Row],[Error Bound (up) - Max. possible relative overstatement]])</f>
        <v>0</v>
      </c>
      <c r="BH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 s="114">
        <f t="shared" si="1"/>
        <v>1</v>
      </c>
      <c r="BJ35" s="114">
        <f>PRODUCT($BI$5:BI35)</f>
        <v>0.59414444935226851</v>
      </c>
      <c r="BK35" s="112">
        <f>1 - Audit[[#This Row],[K-M P Value]]</f>
        <v>0.40585555064773149</v>
      </c>
      <c r="BL35" s="114" t="str">
        <f>IF(Audit[[#This Row],[K-M P Value]]&gt;1-'General Info'!$B$12,"Continue", "Stop")</f>
        <v>Continue</v>
      </c>
      <c r="BM35" s="113" t="b">
        <f>IF(Audit[[#This Row],[Status - Continue or stop audit]] = "Continue", TRUE, IF(BL34 = "Continue", TRUE, FALSE))</f>
        <v>1</v>
      </c>
      <c r="BN35" s="113"/>
    </row>
    <row r="36" spans="1:66" ht="15" hidden="1" customHeight="1" x14ac:dyDescent="0.35">
      <c r="A36" s="114" t="str">
        <f>'Sampling Data'!AI36</f>
        <v/>
      </c>
      <c r="B36" s="114" t="str">
        <f>'Sampling Data'!A36</f>
        <v>0403 CIN 4-C   (AV)</v>
      </c>
      <c r="C36" s="114">
        <f>'Sampling Data'!B36</f>
        <v>11</v>
      </c>
      <c r="D36" s="114">
        <f>'Sampling Data'!C36</f>
        <v>3</v>
      </c>
      <c r="E36" s="115">
        <f>'Sampling Data'!D36</f>
        <v>0</v>
      </c>
      <c r="F36" s="115">
        <f>'Sampling Data'!E36</f>
        <v>0</v>
      </c>
      <c r="G36" s="115">
        <f>'Sampling Data'!F36</f>
        <v>0</v>
      </c>
      <c r="H36" s="115">
        <f>'Sampling Data'!G36</f>
        <v>0</v>
      </c>
      <c r="I36" s="115">
        <f>'Sampling Data'!H36</f>
        <v>0</v>
      </c>
      <c r="J36" s="115">
        <f>'Sampling Data'!I36</f>
        <v>0</v>
      </c>
      <c r="K36" s="115">
        <f>'Sampling Data'!J36</f>
        <v>0</v>
      </c>
      <c r="L36" s="115">
        <f>'Sampling Data'!K36</f>
        <v>0</v>
      </c>
      <c r="M36" s="115">
        <f>'Sampling Data'!L36</f>
        <v>0</v>
      </c>
      <c r="N36" s="115">
        <f>'Sampling Data'!M36</f>
        <v>0</v>
      </c>
      <c r="O36" s="114">
        <f>'Sampling Data'!N36</f>
        <v>0</v>
      </c>
      <c r="P36" s="114">
        <f>'Sampling Data'!O36</f>
        <v>0</v>
      </c>
      <c r="Q36" s="114">
        <f>'Sampling Data'!P36</f>
        <v>14</v>
      </c>
      <c r="R36" s="114">
        <f>'Sampling Data'!AJ36</f>
        <v>0</v>
      </c>
      <c r="S36" s="116"/>
      <c r="T36" s="116"/>
      <c r="U36" s="117"/>
      <c r="V36" s="117"/>
      <c r="W36" s="116"/>
      <c r="X36" s="116"/>
      <c r="Y36" s="116"/>
      <c r="Z36" s="116"/>
      <c r="AA36" s="15"/>
      <c r="AB36" s="15"/>
      <c r="AC36" s="15"/>
      <c r="AD36" s="15"/>
      <c r="AE36" s="118" t="str">
        <f>IF(NOT(ISBLANK(Audit[[#This Row],[Audit Winning Candidate]])), Audit[[#This Row],[Audit Winning Candidate]]-Audit[[#This Row],[Winning Candidate]], "")</f>
        <v/>
      </c>
      <c r="AF36" s="114" t="str">
        <f>IF(NOT(ISBLANK(Audit[[#This Row],[Audit Losing Candidate]])), Audit[[#This Row],[Audit Losing Candidate]]-Audit[[#This Row],[Losing Candidate]], "")</f>
        <v/>
      </c>
      <c r="AG36" s="114" t="str">
        <f>IF(NOT(ISBLANK(Audit[[#This Row],[Audit Candidate 3]])), Audit[[#This Row],[Audit Candidate 3]]-Audit[[#This Row],[Candidate 3]], "")</f>
        <v/>
      </c>
      <c r="AH36" s="114" t="str">
        <f>IF(NOT(ISBLANK(Audit[[#This Row],[Audit Candidate 4]])),Audit[[#This Row],[Audit Candidate 4]]-Audit[[#This Row],[Candidate 4]], "")</f>
        <v/>
      </c>
      <c r="AI36" s="114" t="str">
        <f>IF(NOT(ISBLANK(Audit[[#This Row],[Audit Candidate 5]])), Audit[[#This Row],[Audit Candidate 5]]-Audit[[#This Row],[Candidate 5]], "")</f>
        <v/>
      </c>
      <c r="AJ36" s="114" t="str">
        <f>IF(NOT(ISBLANK(Audit[[#This Row],[Audit Candidate 6]])), Audit[[#This Row],[Audit Candidate 6]]-Audit[[#This Row],[Candidate 6]], "")</f>
        <v/>
      </c>
      <c r="AK36" s="114" t="str">
        <f>IF(NOT(ISBLANK(Audit[[#This Row],[Audit Candidate 7]])), Audit[[#This Row],[Audit Candidate 7]]-Audit[[#This Row],[Candidate 7]], "")</f>
        <v/>
      </c>
      <c r="AL36" s="114" t="str">
        <f>IF(NOT(ISBLANK(Audit[[#This Row],[Audit Candidate 8]])), Audit[[#This Row],[Audit Candidate 8]]-Audit[[#This Row],[Candidate 8]], "")</f>
        <v/>
      </c>
      <c r="AM36" s="114" t="str">
        <f>IF(NOT(ISBLANK(Audit[[#This Row],[Audit Candidate 9]])), Audit[[#This Row],[Audit Candidate 9]]-Audit[[#This Row],[Candidate 9]], "")</f>
        <v/>
      </c>
      <c r="AN36" s="114" t="str">
        <f>IF(NOT(ISBLANK(Audit[[#This Row],[Audit Candidate 10]])), Audit[[#This Row],[Audit Candidate 10]]-Audit[[#This Row],[Candidate 10]], "")</f>
        <v/>
      </c>
      <c r="AO36" s="114" t="str">
        <f>IF(NOT(ISBLANK(Audit[[#This Row],[Audit Candidate 11]])), Audit[[#This Row],[Audit Candidate 11]]-Audit[[#This Row],[Candidate 11]], "")</f>
        <v/>
      </c>
      <c r="AP36" s="114" t="str">
        <f>IF(NOT(ISBLANK(Audit[[#This Row],[Audit Candidate 12]])), Audit[[#This Row],[Audit Candidate 12]]-Audit[[#This Row],[Candidate 12]], "")</f>
        <v/>
      </c>
      <c r="AQ36" s="114">
        <f>SUMIF(Audit[[#This Row],[Difference Winner]:[Difference Candidate 12]], "&gt;0")</f>
        <v>0</v>
      </c>
      <c r="AR36" s="114">
        <f>SUM(Audit[[#This Row],[Difference Winner]:[Difference Candidate 12]])</f>
        <v>0</v>
      </c>
      <c r="AS36" s="114">
        <f>IF(Audit[[#This Row],[Times p Drawn - With Replacement]]&gt;0, IF(Audit[[#This Row],[Canceled Differences]]&lt;0, Audit[[#This Row],[Max Differences]]+ABS(Audit[[#This Row],[Canceled Differences]]), Audit[[#This Row],[Max Differences]]), 0)</f>
        <v>0</v>
      </c>
      <c r="AT36" s="114">
        <f>'Sampling Data'!AB36</f>
        <v>1.4111537593136149E-3</v>
      </c>
      <c r="AU36" s="114">
        <f>IF(
      SUM(Audit[[#This Row],[Audit Losing Candidate]:[Audit Candidate 12]])
      &lt;&gt;0,
      (Audit[[#This Row],[Winning Candidate]]-Audit[[#This Row],[Losing Candidate]]-(Audit[[#This Row],[Audit Winning Candidate]]-Audit[[#This Row],[Audit Losing Candidate]]))/(Audit[[#Totals],[Winning Candidate]]-Audit[[#Totals],[Losing Candidate]]),
      0
)</f>
        <v>0</v>
      </c>
      <c r="AV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 s="114">
        <f>IF(Audit[[#This Row],[Max Relative Error (ep)]] = 0, 0, Audit[[#This Row],[Max Relative Error (ep)]]/Audit[[#This Row],[Error Bound (up) - Max. possible relative overstatement]])</f>
        <v>0</v>
      </c>
      <c r="BH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 s="114">
        <f t="shared" si="1"/>
        <v>1</v>
      </c>
      <c r="BJ36" s="114">
        <f>PRODUCT($BI$5:BI36)</f>
        <v>0.59414444935226851</v>
      </c>
      <c r="BK36" s="112">
        <f>1 - Audit[[#This Row],[K-M P Value]]</f>
        <v>0.40585555064773149</v>
      </c>
      <c r="BL36" s="114" t="str">
        <f>IF(Audit[[#This Row],[K-M P Value]]&gt;1-'General Info'!$B$12,"Continue", "Stop")</f>
        <v>Continue</v>
      </c>
      <c r="BM36" s="113" t="b">
        <f>IF(Audit[[#This Row],[Status - Continue or stop audit]] = "Continue", TRUE, IF(BL35 = "Continue", TRUE, FALSE))</f>
        <v>1</v>
      </c>
      <c r="BN36" s="113"/>
    </row>
    <row r="37" spans="1:66" ht="15" hidden="1" customHeight="1" x14ac:dyDescent="0.35">
      <c r="A37" s="114" t="str">
        <f>'Sampling Data'!AI37</f>
        <v/>
      </c>
      <c r="B37" s="114" t="str">
        <f>'Sampling Data'!A37</f>
        <v>0404 CIN 4-D   (AV)</v>
      </c>
      <c r="C37" s="114">
        <f>'Sampling Data'!B37</f>
        <v>28</v>
      </c>
      <c r="D37" s="114">
        <f>'Sampling Data'!C37</f>
        <v>3</v>
      </c>
      <c r="E37" s="115">
        <f>'Sampling Data'!D37</f>
        <v>0</v>
      </c>
      <c r="F37" s="115">
        <f>'Sampling Data'!E37</f>
        <v>0</v>
      </c>
      <c r="G37" s="115">
        <f>'Sampling Data'!F37</f>
        <v>0</v>
      </c>
      <c r="H37" s="115">
        <f>'Sampling Data'!G37</f>
        <v>0</v>
      </c>
      <c r="I37" s="115">
        <f>'Sampling Data'!H37</f>
        <v>0</v>
      </c>
      <c r="J37" s="115">
        <f>'Sampling Data'!I37</f>
        <v>0</v>
      </c>
      <c r="K37" s="115">
        <f>'Sampling Data'!J37</f>
        <v>0</v>
      </c>
      <c r="L37" s="115">
        <f>'Sampling Data'!K37</f>
        <v>0</v>
      </c>
      <c r="M37" s="115">
        <f>'Sampling Data'!L37</f>
        <v>0</v>
      </c>
      <c r="N37" s="115">
        <f>'Sampling Data'!M37</f>
        <v>0</v>
      </c>
      <c r="O37" s="114">
        <f>'Sampling Data'!N37</f>
        <v>0</v>
      </c>
      <c r="P37" s="114">
        <f>'Sampling Data'!O37</f>
        <v>0</v>
      </c>
      <c r="Q37" s="114">
        <f>'Sampling Data'!P37</f>
        <v>31</v>
      </c>
      <c r="R37" s="114">
        <f>'Sampling Data'!AJ37</f>
        <v>0</v>
      </c>
      <c r="S37" s="116"/>
      <c r="T37" s="116"/>
      <c r="U37" s="117"/>
      <c r="V37" s="117"/>
      <c r="W37" s="116"/>
      <c r="X37" s="116"/>
      <c r="Y37" s="116"/>
      <c r="Z37" s="116"/>
      <c r="AA37" s="15"/>
      <c r="AB37" s="15"/>
      <c r="AC37" s="15"/>
      <c r="AD37" s="15"/>
      <c r="AE37" s="118" t="str">
        <f>IF(NOT(ISBLANK(Audit[[#This Row],[Audit Winning Candidate]])), Audit[[#This Row],[Audit Winning Candidate]]-Audit[[#This Row],[Winning Candidate]], "")</f>
        <v/>
      </c>
      <c r="AF37" s="114" t="str">
        <f>IF(NOT(ISBLANK(Audit[[#This Row],[Audit Losing Candidate]])), Audit[[#This Row],[Audit Losing Candidate]]-Audit[[#This Row],[Losing Candidate]], "")</f>
        <v/>
      </c>
      <c r="AG37" s="114" t="str">
        <f>IF(NOT(ISBLANK(Audit[[#This Row],[Audit Candidate 3]])), Audit[[#This Row],[Audit Candidate 3]]-Audit[[#This Row],[Candidate 3]], "")</f>
        <v/>
      </c>
      <c r="AH37" s="114" t="str">
        <f>IF(NOT(ISBLANK(Audit[[#This Row],[Audit Candidate 4]])),Audit[[#This Row],[Audit Candidate 4]]-Audit[[#This Row],[Candidate 4]], "")</f>
        <v/>
      </c>
      <c r="AI37" s="114" t="str">
        <f>IF(NOT(ISBLANK(Audit[[#This Row],[Audit Candidate 5]])), Audit[[#This Row],[Audit Candidate 5]]-Audit[[#This Row],[Candidate 5]], "")</f>
        <v/>
      </c>
      <c r="AJ37" s="114" t="str">
        <f>IF(NOT(ISBLANK(Audit[[#This Row],[Audit Candidate 6]])), Audit[[#This Row],[Audit Candidate 6]]-Audit[[#This Row],[Candidate 6]], "")</f>
        <v/>
      </c>
      <c r="AK37" s="114" t="str">
        <f>IF(NOT(ISBLANK(Audit[[#This Row],[Audit Candidate 7]])), Audit[[#This Row],[Audit Candidate 7]]-Audit[[#This Row],[Candidate 7]], "")</f>
        <v/>
      </c>
      <c r="AL37" s="114" t="str">
        <f>IF(NOT(ISBLANK(Audit[[#This Row],[Audit Candidate 8]])), Audit[[#This Row],[Audit Candidate 8]]-Audit[[#This Row],[Candidate 8]], "")</f>
        <v/>
      </c>
      <c r="AM37" s="114" t="str">
        <f>IF(NOT(ISBLANK(Audit[[#This Row],[Audit Candidate 9]])), Audit[[#This Row],[Audit Candidate 9]]-Audit[[#This Row],[Candidate 9]], "")</f>
        <v/>
      </c>
      <c r="AN37" s="114" t="str">
        <f>IF(NOT(ISBLANK(Audit[[#This Row],[Audit Candidate 10]])), Audit[[#This Row],[Audit Candidate 10]]-Audit[[#This Row],[Candidate 10]], "")</f>
        <v/>
      </c>
      <c r="AO37" s="114" t="str">
        <f>IF(NOT(ISBLANK(Audit[[#This Row],[Audit Candidate 11]])), Audit[[#This Row],[Audit Candidate 11]]-Audit[[#This Row],[Candidate 11]], "")</f>
        <v/>
      </c>
      <c r="AP37" s="114" t="str">
        <f>IF(NOT(ISBLANK(Audit[[#This Row],[Audit Candidate 12]])), Audit[[#This Row],[Audit Candidate 12]]-Audit[[#This Row],[Candidate 12]], "")</f>
        <v/>
      </c>
      <c r="AQ37" s="114">
        <f>SUMIF(Audit[[#This Row],[Difference Winner]:[Difference Candidate 12]], "&gt;0")</f>
        <v>0</v>
      </c>
      <c r="AR37" s="114">
        <f>SUM(Audit[[#This Row],[Difference Winner]:[Difference Candidate 12]])</f>
        <v>0</v>
      </c>
      <c r="AS37" s="114">
        <f>IF(Audit[[#This Row],[Times p Drawn - With Replacement]]&gt;0, IF(Audit[[#This Row],[Canceled Differences]]&lt;0, Audit[[#This Row],[Max Differences]]+ABS(Audit[[#This Row],[Canceled Differences]]), Audit[[#This Row],[Max Differences]]), 0)</f>
        <v>0</v>
      </c>
      <c r="AT37" s="114">
        <f>'Sampling Data'!AB37</f>
        <v>3.5395992667972948E-3</v>
      </c>
      <c r="AU37" s="114">
        <f>IF(
      SUM(Audit[[#This Row],[Audit Losing Candidate]:[Audit Candidate 12]])
      &lt;&gt;0,
      (Audit[[#This Row],[Winning Candidate]]-Audit[[#This Row],[Losing Candidate]]-(Audit[[#This Row],[Audit Winning Candidate]]-Audit[[#This Row],[Audit Losing Candidate]]))/(Audit[[#Totals],[Winning Candidate]]-Audit[[#Totals],[Losing Candidate]]),
      0
)</f>
        <v>0</v>
      </c>
      <c r="AV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 s="114">
        <f>IF(Audit[[#This Row],[Max Relative Error (ep)]] = 0, 0, Audit[[#This Row],[Max Relative Error (ep)]]/Audit[[#This Row],[Error Bound (up) - Max. possible relative overstatement]])</f>
        <v>0</v>
      </c>
      <c r="BH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 s="114">
        <f t="shared" si="1"/>
        <v>1</v>
      </c>
      <c r="BJ37" s="114">
        <f>PRODUCT($BI$5:BI37)</f>
        <v>0.59414444935226851</v>
      </c>
      <c r="BK37" s="112">
        <f>1 - Audit[[#This Row],[K-M P Value]]</f>
        <v>0.40585555064773149</v>
      </c>
      <c r="BL37" s="114" t="str">
        <f>IF(Audit[[#This Row],[K-M P Value]]&gt;1-'General Info'!$B$12,"Continue", "Stop")</f>
        <v>Continue</v>
      </c>
      <c r="BM37" s="113" t="b">
        <f>IF(Audit[[#This Row],[Status - Continue or stop audit]] = "Continue", TRUE, IF(BL36 = "Continue", TRUE, FALSE))</f>
        <v>1</v>
      </c>
      <c r="BN37" s="113"/>
    </row>
    <row r="38" spans="1:66" ht="15" hidden="1" customHeight="1" x14ac:dyDescent="0.35">
      <c r="A38" s="114" t="str">
        <f>'Sampling Data'!AI38</f>
        <v/>
      </c>
      <c r="B38" s="114" t="str">
        <f>'Sampling Data'!A38</f>
        <v>0405 CIN 4-E   (AV)</v>
      </c>
      <c r="C38" s="114">
        <f>'Sampling Data'!B38</f>
        <v>14</v>
      </c>
      <c r="D38" s="114">
        <f>'Sampling Data'!C38</f>
        <v>5</v>
      </c>
      <c r="E38" s="115">
        <f>'Sampling Data'!D38</f>
        <v>0</v>
      </c>
      <c r="F38" s="115">
        <f>'Sampling Data'!E38</f>
        <v>0</v>
      </c>
      <c r="G38" s="115">
        <f>'Sampling Data'!F38</f>
        <v>0</v>
      </c>
      <c r="H38" s="115">
        <f>'Sampling Data'!G38</f>
        <v>0</v>
      </c>
      <c r="I38" s="115">
        <f>'Sampling Data'!H38</f>
        <v>0</v>
      </c>
      <c r="J38" s="115">
        <f>'Sampling Data'!I38</f>
        <v>0</v>
      </c>
      <c r="K38" s="115">
        <f>'Sampling Data'!J38</f>
        <v>0</v>
      </c>
      <c r="L38" s="115">
        <f>'Sampling Data'!K38</f>
        <v>0</v>
      </c>
      <c r="M38" s="115">
        <f>'Sampling Data'!L38</f>
        <v>0</v>
      </c>
      <c r="N38" s="115">
        <f>'Sampling Data'!M38</f>
        <v>0</v>
      </c>
      <c r="O38" s="114">
        <f>'Sampling Data'!N38</f>
        <v>0</v>
      </c>
      <c r="P38" s="114">
        <f>'Sampling Data'!O38</f>
        <v>0</v>
      </c>
      <c r="Q38" s="114">
        <f>'Sampling Data'!P38</f>
        <v>19</v>
      </c>
      <c r="R38" s="114">
        <f>'Sampling Data'!AJ38</f>
        <v>0</v>
      </c>
      <c r="S38" s="116"/>
      <c r="T38" s="116"/>
      <c r="U38" s="117"/>
      <c r="V38" s="117"/>
      <c r="W38" s="116"/>
      <c r="X38" s="116"/>
      <c r="Y38" s="116"/>
      <c r="Z38" s="116"/>
      <c r="AA38" s="15"/>
      <c r="AB38" s="15"/>
      <c r="AC38" s="15"/>
      <c r="AD38" s="15"/>
      <c r="AE38" s="118" t="str">
        <f>IF(NOT(ISBLANK(Audit[[#This Row],[Audit Winning Candidate]])), Audit[[#This Row],[Audit Winning Candidate]]-Audit[[#This Row],[Winning Candidate]], "")</f>
        <v/>
      </c>
      <c r="AF38" s="114" t="str">
        <f>IF(NOT(ISBLANK(Audit[[#This Row],[Audit Losing Candidate]])), Audit[[#This Row],[Audit Losing Candidate]]-Audit[[#This Row],[Losing Candidate]], "")</f>
        <v/>
      </c>
      <c r="AG38" s="114" t="str">
        <f>IF(NOT(ISBLANK(Audit[[#This Row],[Audit Candidate 3]])), Audit[[#This Row],[Audit Candidate 3]]-Audit[[#This Row],[Candidate 3]], "")</f>
        <v/>
      </c>
      <c r="AH38" s="114" t="str">
        <f>IF(NOT(ISBLANK(Audit[[#This Row],[Audit Candidate 4]])),Audit[[#This Row],[Audit Candidate 4]]-Audit[[#This Row],[Candidate 4]], "")</f>
        <v/>
      </c>
      <c r="AI38" s="114" t="str">
        <f>IF(NOT(ISBLANK(Audit[[#This Row],[Audit Candidate 5]])), Audit[[#This Row],[Audit Candidate 5]]-Audit[[#This Row],[Candidate 5]], "")</f>
        <v/>
      </c>
      <c r="AJ38" s="114" t="str">
        <f>IF(NOT(ISBLANK(Audit[[#This Row],[Audit Candidate 6]])), Audit[[#This Row],[Audit Candidate 6]]-Audit[[#This Row],[Candidate 6]], "")</f>
        <v/>
      </c>
      <c r="AK38" s="114" t="str">
        <f>IF(NOT(ISBLANK(Audit[[#This Row],[Audit Candidate 7]])), Audit[[#This Row],[Audit Candidate 7]]-Audit[[#This Row],[Candidate 7]], "")</f>
        <v/>
      </c>
      <c r="AL38" s="114" t="str">
        <f>IF(NOT(ISBLANK(Audit[[#This Row],[Audit Candidate 8]])), Audit[[#This Row],[Audit Candidate 8]]-Audit[[#This Row],[Candidate 8]], "")</f>
        <v/>
      </c>
      <c r="AM38" s="114" t="str">
        <f>IF(NOT(ISBLANK(Audit[[#This Row],[Audit Candidate 9]])), Audit[[#This Row],[Audit Candidate 9]]-Audit[[#This Row],[Candidate 9]], "")</f>
        <v/>
      </c>
      <c r="AN38" s="114" t="str">
        <f>IF(NOT(ISBLANK(Audit[[#This Row],[Audit Candidate 10]])), Audit[[#This Row],[Audit Candidate 10]]-Audit[[#This Row],[Candidate 10]], "")</f>
        <v/>
      </c>
      <c r="AO38" s="114" t="str">
        <f>IF(NOT(ISBLANK(Audit[[#This Row],[Audit Candidate 11]])), Audit[[#This Row],[Audit Candidate 11]]-Audit[[#This Row],[Candidate 11]], "")</f>
        <v/>
      </c>
      <c r="AP38" s="114" t="str">
        <f>IF(NOT(ISBLANK(Audit[[#This Row],[Audit Candidate 12]])), Audit[[#This Row],[Audit Candidate 12]]-Audit[[#This Row],[Candidate 12]], "")</f>
        <v/>
      </c>
      <c r="AQ38" s="114">
        <f>SUMIF(Audit[[#This Row],[Difference Winner]:[Difference Candidate 12]], "&gt;0")</f>
        <v>0</v>
      </c>
      <c r="AR38" s="114">
        <f>SUM(Audit[[#This Row],[Difference Winner]:[Difference Candidate 12]])</f>
        <v>0</v>
      </c>
      <c r="AS38" s="114">
        <f>IF(Audit[[#This Row],[Times p Drawn - With Replacement]]&gt;0, IF(Audit[[#This Row],[Canceled Differences]]&lt;0, Audit[[#This Row],[Max Differences]]+ABS(Audit[[#This Row],[Canceled Differences]]), Audit[[#This Row],[Max Differences]]), 0)</f>
        <v>0</v>
      </c>
      <c r="AT38" s="114">
        <f>'Sampling Data'!AB38</f>
        <v>1.8627229622939715E-3</v>
      </c>
      <c r="AU38" s="114">
        <f>IF(
      SUM(Audit[[#This Row],[Audit Losing Candidate]:[Audit Candidate 12]])
      &lt;&gt;0,
      (Audit[[#This Row],[Winning Candidate]]-Audit[[#This Row],[Losing Candidate]]-(Audit[[#This Row],[Audit Winning Candidate]]-Audit[[#This Row],[Audit Losing Candidate]]))/(Audit[[#Totals],[Winning Candidate]]-Audit[[#Totals],[Losing Candidate]]),
      0
)</f>
        <v>0</v>
      </c>
      <c r="AV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 s="114">
        <f>IF(Audit[[#This Row],[Max Relative Error (ep)]] = 0, 0, Audit[[#This Row],[Max Relative Error (ep)]]/Audit[[#This Row],[Error Bound (up) - Max. possible relative overstatement]])</f>
        <v>0</v>
      </c>
      <c r="BH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 s="114">
        <f t="shared" si="1"/>
        <v>1</v>
      </c>
      <c r="BJ38" s="114">
        <f>PRODUCT($BI$5:BI38)</f>
        <v>0.59414444935226851</v>
      </c>
      <c r="BK38" s="112">
        <f>1 - Audit[[#This Row],[K-M P Value]]</f>
        <v>0.40585555064773149</v>
      </c>
      <c r="BL38" s="114" t="str">
        <f>IF(Audit[[#This Row],[K-M P Value]]&gt;1-'General Info'!$B$12,"Continue", "Stop")</f>
        <v>Continue</v>
      </c>
      <c r="BM38" s="113" t="b">
        <f>IF(Audit[[#This Row],[Status - Continue or stop audit]] = "Continue", TRUE, IF(BL37 = "Continue", TRUE, FALSE))</f>
        <v>1</v>
      </c>
      <c r="BN38" s="113"/>
    </row>
    <row r="39" spans="1:66" ht="15" hidden="1" customHeight="1" x14ac:dyDescent="0.35">
      <c r="A39" s="114" t="str">
        <f>'Sampling Data'!AI39</f>
        <v/>
      </c>
      <c r="B39" s="114" t="str">
        <f>'Sampling Data'!A39</f>
        <v>0406 CIN 4-F   (AV)</v>
      </c>
      <c r="C39" s="114">
        <f>'Sampling Data'!B39</f>
        <v>36</v>
      </c>
      <c r="D39" s="114">
        <f>'Sampling Data'!C39</f>
        <v>3</v>
      </c>
      <c r="E39" s="115">
        <f>'Sampling Data'!D39</f>
        <v>3</v>
      </c>
      <c r="F39" s="115">
        <f>'Sampling Data'!E39</f>
        <v>0</v>
      </c>
      <c r="G39" s="115">
        <f>'Sampling Data'!F39</f>
        <v>0</v>
      </c>
      <c r="H39" s="115">
        <f>'Sampling Data'!G39</f>
        <v>0</v>
      </c>
      <c r="I39" s="115">
        <f>'Sampling Data'!H39</f>
        <v>0</v>
      </c>
      <c r="J39" s="115">
        <f>'Sampling Data'!I39</f>
        <v>0</v>
      </c>
      <c r="K39" s="115">
        <f>'Sampling Data'!J39</f>
        <v>0</v>
      </c>
      <c r="L39" s="115">
        <f>'Sampling Data'!K39</f>
        <v>0</v>
      </c>
      <c r="M39" s="115">
        <f>'Sampling Data'!L39</f>
        <v>0</v>
      </c>
      <c r="N39" s="115">
        <f>'Sampling Data'!M39</f>
        <v>0</v>
      </c>
      <c r="O39" s="114">
        <f>'Sampling Data'!N39</f>
        <v>0</v>
      </c>
      <c r="P39" s="114">
        <f>'Sampling Data'!O39</f>
        <v>3</v>
      </c>
      <c r="Q39" s="114">
        <f>'Sampling Data'!P39</f>
        <v>45</v>
      </c>
      <c r="R39" s="114">
        <f>'Sampling Data'!AJ39</f>
        <v>0</v>
      </c>
      <c r="S39" s="116"/>
      <c r="T39" s="116"/>
      <c r="U39" s="117"/>
      <c r="V39" s="117"/>
      <c r="W39" s="116"/>
      <c r="X39" s="116"/>
      <c r="Y39" s="116"/>
      <c r="Z39" s="116"/>
      <c r="AA39" s="15"/>
      <c r="AB39" s="15"/>
      <c r="AC39" s="15"/>
      <c r="AD39" s="15"/>
      <c r="AE39" s="118" t="str">
        <f>IF(NOT(ISBLANK(Audit[[#This Row],[Audit Winning Candidate]])), Audit[[#This Row],[Audit Winning Candidate]]-Audit[[#This Row],[Winning Candidate]], "")</f>
        <v/>
      </c>
      <c r="AF39" s="114" t="str">
        <f>IF(NOT(ISBLANK(Audit[[#This Row],[Audit Losing Candidate]])), Audit[[#This Row],[Audit Losing Candidate]]-Audit[[#This Row],[Losing Candidate]], "")</f>
        <v/>
      </c>
      <c r="AG39" s="114" t="str">
        <f>IF(NOT(ISBLANK(Audit[[#This Row],[Audit Candidate 3]])), Audit[[#This Row],[Audit Candidate 3]]-Audit[[#This Row],[Candidate 3]], "")</f>
        <v/>
      </c>
      <c r="AH39" s="114" t="str">
        <f>IF(NOT(ISBLANK(Audit[[#This Row],[Audit Candidate 4]])),Audit[[#This Row],[Audit Candidate 4]]-Audit[[#This Row],[Candidate 4]], "")</f>
        <v/>
      </c>
      <c r="AI39" s="114" t="str">
        <f>IF(NOT(ISBLANK(Audit[[#This Row],[Audit Candidate 5]])), Audit[[#This Row],[Audit Candidate 5]]-Audit[[#This Row],[Candidate 5]], "")</f>
        <v/>
      </c>
      <c r="AJ39" s="114" t="str">
        <f>IF(NOT(ISBLANK(Audit[[#This Row],[Audit Candidate 6]])), Audit[[#This Row],[Audit Candidate 6]]-Audit[[#This Row],[Candidate 6]], "")</f>
        <v/>
      </c>
      <c r="AK39" s="114" t="str">
        <f>IF(NOT(ISBLANK(Audit[[#This Row],[Audit Candidate 7]])), Audit[[#This Row],[Audit Candidate 7]]-Audit[[#This Row],[Candidate 7]], "")</f>
        <v/>
      </c>
      <c r="AL39" s="114" t="str">
        <f>IF(NOT(ISBLANK(Audit[[#This Row],[Audit Candidate 8]])), Audit[[#This Row],[Audit Candidate 8]]-Audit[[#This Row],[Candidate 8]], "")</f>
        <v/>
      </c>
      <c r="AM39" s="114" t="str">
        <f>IF(NOT(ISBLANK(Audit[[#This Row],[Audit Candidate 9]])), Audit[[#This Row],[Audit Candidate 9]]-Audit[[#This Row],[Candidate 9]], "")</f>
        <v/>
      </c>
      <c r="AN39" s="114" t="str">
        <f>IF(NOT(ISBLANK(Audit[[#This Row],[Audit Candidate 10]])), Audit[[#This Row],[Audit Candidate 10]]-Audit[[#This Row],[Candidate 10]], "")</f>
        <v/>
      </c>
      <c r="AO39" s="114" t="str">
        <f>IF(NOT(ISBLANK(Audit[[#This Row],[Audit Candidate 11]])), Audit[[#This Row],[Audit Candidate 11]]-Audit[[#This Row],[Candidate 11]], "")</f>
        <v/>
      </c>
      <c r="AP39" s="114" t="str">
        <f>IF(NOT(ISBLANK(Audit[[#This Row],[Audit Candidate 12]])), Audit[[#This Row],[Audit Candidate 12]]-Audit[[#This Row],[Candidate 12]], "")</f>
        <v/>
      </c>
      <c r="AQ39" s="114">
        <f>SUMIF(Audit[[#This Row],[Difference Winner]:[Difference Candidate 12]], "&gt;0")</f>
        <v>0</v>
      </c>
      <c r="AR39" s="114">
        <f>SUM(Audit[[#This Row],[Difference Winner]:[Difference Candidate 12]])</f>
        <v>0</v>
      </c>
      <c r="AS39" s="114">
        <f>IF(Audit[[#This Row],[Times p Drawn - With Replacement]]&gt;0, IF(Audit[[#This Row],[Canceled Differences]]&lt;0, Audit[[#This Row],[Max Differences]]+ABS(Audit[[#This Row],[Canceled Differences]]), Audit[[#This Row],[Max Differences]]), 0)</f>
        <v>0</v>
      </c>
      <c r="AT39" s="114">
        <f>'Sampling Data'!AB39</f>
        <v>4.9301561216105174E-3</v>
      </c>
      <c r="AU39" s="114">
        <f>IF(
      SUM(Audit[[#This Row],[Audit Losing Candidate]:[Audit Candidate 12]])
      &lt;&gt;0,
      (Audit[[#This Row],[Winning Candidate]]-Audit[[#This Row],[Losing Candidate]]-(Audit[[#This Row],[Audit Winning Candidate]]-Audit[[#This Row],[Audit Losing Candidate]]))/(Audit[[#Totals],[Winning Candidate]]-Audit[[#Totals],[Losing Candidate]]),
      0
)</f>
        <v>0</v>
      </c>
      <c r="AV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 s="114">
        <f>IF(Audit[[#This Row],[Max Relative Error (ep)]] = 0, 0, Audit[[#This Row],[Max Relative Error (ep)]]/Audit[[#This Row],[Error Bound (up) - Max. possible relative overstatement]])</f>
        <v>0</v>
      </c>
      <c r="BH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9" s="114">
        <f t="shared" si="1"/>
        <v>1</v>
      </c>
      <c r="BJ39" s="114">
        <f>PRODUCT($BI$5:BI39)</f>
        <v>0.59414444935226851</v>
      </c>
      <c r="BK39" s="112">
        <f>1 - Audit[[#This Row],[K-M P Value]]</f>
        <v>0.40585555064773149</v>
      </c>
      <c r="BL39" s="114" t="str">
        <f>IF(Audit[[#This Row],[K-M P Value]]&gt;1-'General Info'!$B$12,"Continue", "Stop")</f>
        <v>Continue</v>
      </c>
      <c r="BM39" s="113" t="b">
        <f>IF(Audit[[#This Row],[Status - Continue or stop audit]] = "Continue", TRUE, IF(BL38 = "Continue", TRUE, FALSE))</f>
        <v>1</v>
      </c>
      <c r="BN39" s="113"/>
    </row>
    <row r="40" spans="1:66" ht="15" hidden="1" customHeight="1" x14ac:dyDescent="0.35">
      <c r="A40" s="114" t="str">
        <f>'Sampling Data'!AI40</f>
        <v/>
      </c>
      <c r="B40" s="114" t="str">
        <f>'Sampling Data'!A40</f>
        <v>0407 CIN 4-G   (AV)</v>
      </c>
      <c r="C40" s="114">
        <f>'Sampling Data'!B40</f>
        <v>21</v>
      </c>
      <c r="D40" s="114">
        <f>'Sampling Data'!C40</f>
        <v>14</v>
      </c>
      <c r="E40" s="115">
        <f>'Sampling Data'!D40</f>
        <v>1</v>
      </c>
      <c r="F40" s="115">
        <f>'Sampling Data'!E40</f>
        <v>0</v>
      </c>
      <c r="G40" s="115">
        <f>'Sampling Data'!F40</f>
        <v>0</v>
      </c>
      <c r="H40" s="115">
        <f>'Sampling Data'!G40</f>
        <v>0</v>
      </c>
      <c r="I40" s="115">
        <f>'Sampling Data'!H40</f>
        <v>0</v>
      </c>
      <c r="J40" s="115">
        <f>'Sampling Data'!I40</f>
        <v>0</v>
      </c>
      <c r="K40" s="115">
        <f>'Sampling Data'!J40</f>
        <v>0</v>
      </c>
      <c r="L40" s="115">
        <f>'Sampling Data'!K40</f>
        <v>0</v>
      </c>
      <c r="M40" s="115">
        <f>'Sampling Data'!L40</f>
        <v>0</v>
      </c>
      <c r="N40" s="115">
        <f>'Sampling Data'!M40</f>
        <v>0</v>
      </c>
      <c r="O40" s="114">
        <f>'Sampling Data'!N40</f>
        <v>0</v>
      </c>
      <c r="P40" s="114">
        <f>'Sampling Data'!O40</f>
        <v>0</v>
      </c>
      <c r="Q40" s="114">
        <f>'Sampling Data'!P40</f>
        <v>36</v>
      </c>
      <c r="R40" s="114">
        <f>'Sampling Data'!AJ40</f>
        <v>0</v>
      </c>
      <c r="S40" s="116"/>
      <c r="T40" s="116"/>
      <c r="U40" s="117"/>
      <c r="V40" s="117"/>
      <c r="W40" s="116"/>
      <c r="X40" s="116"/>
      <c r="Y40" s="116"/>
      <c r="Z40" s="116"/>
      <c r="AA40" s="15"/>
      <c r="AB40" s="15"/>
      <c r="AC40" s="15"/>
      <c r="AD40" s="15"/>
      <c r="AE40" s="118" t="str">
        <f>IF(NOT(ISBLANK(Audit[[#This Row],[Audit Winning Candidate]])), Audit[[#This Row],[Audit Winning Candidate]]-Audit[[#This Row],[Winning Candidate]], "")</f>
        <v/>
      </c>
      <c r="AF40" s="114" t="str">
        <f>IF(NOT(ISBLANK(Audit[[#This Row],[Audit Losing Candidate]])), Audit[[#This Row],[Audit Losing Candidate]]-Audit[[#This Row],[Losing Candidate]], "")</f>
        <v/>
      </c>
      <c r="AG40" s="114" t="str">
        <f>IF(NOT(ISBLANK(Audit[[#This Row],[Audit Candidate 3]])), Audit[[#This Row],[Audit Candidate 3]]-Audit[[#This Row],[Candidate 3]], "")</f>
        <v/>
      </c>
      <c r="AH40" s="114" t="str">
        <f>IF(NOT(ISBLANK(Audit[[#This Row],[Audit Candidate 4]])),Audit[[#This Row],[Audit Candidate 4]]-Audit[[#This Row],[Candidate 4]], "")</f>
        <v/>
      </c>
      <c r="AI40" s="114" t="str">
        <f>IF(NOT(ISBLANK(Audit[[#This Row],[Audit Candidate 5]])), Audit[[#This Row],[Audit Candidate 5]]-Audit[[#This Row],[Candidate 5]], "")</f>
        <v/>
      </c>
      <c r="AJ40" s="114" t="str">
        <f>IF(NOT(ISBLANK(Audit[[#This Row],[Audit Candidate 6]])), Audit[[#This Row],[Audit Candidate 6]]-Audit[[#This Row],[Candidate 6]], "")</f>
        <v/>
      </c>
      <c r="AK40" s="114" t="str">
        <f>IF(NOT(ISBLANK(Audit[[#This Row],[Audit Candidate 7]])), Audit[[#This Row],[Audit Candidate 7]]-Audit[[#This Row],[Candidate 7]], "")</f>
        <v/>
      </c>
      <c r="AL40" s="114" t="str">
        <f>IF(NOT(ISBLANK(Audit[[#This Row],[Audit Candidate 8]])), Audit[[#This Row],[Audit Candidate 8]]-Audit[[#This Row],[Candidate 8]], "")</f>
        <v/>
      </c>
      <c r="AM40" s="114" t="str">
        <f>IF(NOT(ISBLANK(Audit[[#This Row],[Audit Candidate 9]])), Audit[[#This Row],[Audit Candidate 9]]-Audit[[#This Row],[Candidate 9]], "")</f>
        <v/>
      </c>
      <c r="AN40" s="114" t="str">
        <f>IF(NOT(ISBLANK(Audit[[#This Row],[Audit Candidate 10]])), Audit[[#This Row],[Audit Candidate 10]]-Audit[[#This Row],[Candidate 10]], "")</f>
        <v/>
      </c>
      <c r="AO40" s="114" t="str">
        <f>IF(NOT(ISBLANK(Audit[[#This Row],[Audit Candidate 11]])), Audit[[#This Row],[Audit Candidate 11]]-Audit[[#This Row],[Candidate 11]], "")</f>
        <v/>
      </c>
      <c r="AP40" s="114" t="str">
        <f>IF(NOT(ISBLANK(Audit[[#This Row],[Audit Candidate 12]])), Audit[[#This Row],[Audit Candidate 12]]-Audit[[#This Row],[Candidate 12]], "")</f>
        <v/>
      </c>
      <c r="AQ40" s="114">
        <f>SUMIF(Audit[[#This Row],[Difference Winner]:[Difference Candidate 12]], "&gt;0")</f>
        <v>0</v>
      </c>
      <c r="AR40" s="114">
        <f>SUM(Audit[[#This Row],[Difference Winner]:[Difference Candidate 12]])</f>
        <v>0</v>
      </c>
      <c r="AS40" s="114">
        <f>IF(Audit[[#This Row],[Times p Drawn - With Replacement]]&gt;0, IF(Audit[[#This Row],[Canceled Differences]]&lt;0, Audit[[#This Row],[Max Differences]]+ABS(Audit[[#This Row],[Canceled Differences]]), Audit[[#This Row],[Max Differences]]), 0)</f>
        <v>0</v>
      </c>
      <c r="AT40" s="114">
        <f>'Sampling Data'!AB40</f>
        <v>3.1609844208624971E-3</v>
      </c>
      <c r="AU40" s="114">
        <f>IF(
      SUM(Audit[[#This Row],[Audit Losing Candidate]:[Audit Candidate 12]])
      &lt;&gt;0,
      (Audit[[#This Row],[Winning Candidate]]-Audit[[#This Row],[Losing Candidate]]-(Audit[[#This Row],[Audit Winning Candidate]]-Audit[[#This Row],[Audit Losing Candidate]]))/(Audit[[#Totals],[Winning Candidate]]-Audit[[#Totals],[Losing Candidate]]),
      0
)</f>
        <v>0</v>
      </c>
      <c r="AV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 s="114">
        <f>IF(Audit[[#This Row],[Max Relative Error (ep)]] = 0, 0, Audit[[#This Row],[Max Relative Error (ep)]]/Audit[[#This Row],[Error Bound (up) - Max. possible relative overstatement]])</f>
        <v>0</v>
      </c>
      <c r="BH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0" s="114">
        <f t="shared" si="1"/>
        <v>1</v>
      </c>
      <c r="BJ40" s="114">
        <f>PRODUCT($BI$5:BI40)</f>
        <v>0.59414444935226851</v>
      </c>
      <c r="BK40" s="112">
        <f>1 - Audit[[#This Row],[K-M P Value]]</f>
        <v>0.40585555064773149</v>
      </c>
      <c r="BL40" s="114" t="str">
        <f>IF(Audit[[#This Row],[K-M P Value]]&gt;1-'General Info'!$B$12,"Continue", "Stop")</f>
        <v>Continue</v>
      </c>
      <c r="BM40" s="113" t="b">
        <f>IF(Audit[[#This Row],[Status - Continue or stop audit]] = "Continue", TRUE, IF(BL39 = "Continue", TRUE, FALSE))</f>
        <v>1</v>
      </c>
      <c r="BN40" s="113"/>
    </row>
    <row r="41" spans="1:66" ht="15" hidden="1" customHeight="1" x14ac:dyDescent="0.35">
      <c r="A41" s="114" t="str">
        <f>'Sampling Data'!AI41</f>
        <v/>
      </c>
      <c r="B41" s="114" t="str">
        <f>'Sampling Data'!A41</f>
        <v>0408 CIN 4-H   (AV)</v>
      </c>
      <c r="C41" s="114">
        <f>'Sampling Data'!B41</f>
        <v>27</v>
      </c>
      <c r="D41" s="114">
        <f>'Sampling Data'!C41</f>
        <v>3</v>
      </c>
      <c r="E41" s="115">
        <f>'Sampling Data'!D41</f>
        <v>4</v>
      </c>
      <c r="F41" s="115">
        <f>'Sampling Data'!E41</f>
        <v>0</v>
      </c>
      <c r="G41" s="115">
        <f>'Sampling Data'!F41</f>
        <v>0</v>
      </c>
      <c r="H41" s="115">
        <f>'Sampling Data'!G41</f>
        <v>0</v>
      </c>
      <c r="I41" s="115">
        <f>'Sampling Data'!H41</f>
        <v>0</v>
      </c>
      <c r="J41" s="115">
        <f>'Sampling Data'!I41</f>
        <v>0</v>
      </c>
      <c r="K41" s="115">
        <f>'Sampling Data'!J41</f>
        <v>0</v>
      </c>
      <c r="L41" s="115">
        <f>'Sampling Data'!K41</f>
        <v>0</v>
      </c>
      <c r="M41" s="115">
        <f>'Sampling Data'!L41</f>
        <v>0</v>
      </c>
      <c r="N41" s="115">
        <f>'Sampling Data'!M41</f>
        <v>0</v>
      </c>
      <c r="O41" s="114">
        <f>'Sampling Data'!N41</f>
        <v>0</v>
      </c>
      <c r="P41" s="114">
        <f>'Sampling Data'!O41</f>
        <v>0</v>
      </c>
      <c r="Q41" s="114">
        <f>'Sampling Data'!P41</f>
        <v>34</v>
      </c>
      <c r="R41" s="114">
        <f>'Sampling Data'!AJ41</f>
        <v>0</v>
      </c>
      <c r="S41" s="116"/>
      <c r="T41" s="116"/>
      <c r="U41" s="117"/>
      <c r="V41" s="117"/>
      <c r="W41" s="116"/>
      <c r="X41" s="116"/>
      <c r="Y41" s="116"/>
      <c r="Z41" s="116"/>
      <c r="AA41" s="15"/>
      <c r="AB41" s="15"/>
      <c r="AC41" s="15"/>
      <c r="AD41" s="15"/>
      <c r="AE41" s="118" t="str">
        <f>IF(NOT(ISBLANK(Audit[[#This Row],[Audit Winning Candidate]])), Audit[[#This Row],[Audit Winning Candidate]]-Audit[[#This Row],[Winning Candidate]], "")</f>
        <v/>
      </c>
      <c r="AF41" s="114" t="str">
        <f>IF(NOT(ISBLANK(Audit[[#This Row],[Audit Losing Candidate]])), Audit[[#This Row],[Audit Losing Candidate]]-Audit[[#This Row],[Losing Candidate]], "")</f>
        <v/>
      </c>
      <c r="AG41" s="114" t="str">
        <f>IF(NOT(ISBLANK(Audit[[#This Row],[Audit Candidate 3]])), Audit[[#This Row],[Audit Candidate 3]]-Audit[[#This Row],[Candidate 3]], "")</f>
        <v/>
      </c>
      <c r="AH41" s="114" t="str">
        <f>IF(NOT(ISBLANK(Audit[[#This Row],[Audit Candidate 4]])),Audit[[#This Row],[Audit Candidate 4]]-Audit[[#This Row],[Candidate 4]], "")</f>
        <v/>
      </c>
      <c r="AI41" s="114" t="str">
        <f>IF(NOT(ISBLANK(Audit[[#This Row],[Audit Candidate 5]])), Audit[[#This Row],[Audit Candidate 5]]-Audit[[#This Row],[Candidate 5]], "")</f>
        <v/>
      </c>
      <c r="AJ41" s="114" t="str">
        <f>IF(NOT(ISBLANK(Audit[[#This Row],[Audit Candidate 6]])), Audit[[#This Row],[Audit Candidate 6]]-Audit[[#This Row],[Candidate 6]], "")</f>
        <v/>
      </c>
      <c r="AK41" s="114" t="str">
        <f>IF(NOT(ISBLANK(Audit[[#This Row],[Audit Candidate 7]])), Audit[[#This Row],[Audit Candidate 7]]-Audit[[#This Row],[Candidate 7]], "")</f>
        <v/>
      </c>
      <c r="AL41" s="114" t="str">
        <f>IF(NOT(ISBLANK(Audit[[#This Row],[Audit Candidate 8]])), Audit[[#This Row],[Audit Candidate 8]]-Audit[[#This Row],[Candidate 8]], "")</f>
        <v/>
      </c>
      <c r="AM41" s="114" t="str">
        <f>IF(NOT(ISBLANK(Audit[[#This Row],[Audit Candidate 9]])), Audit[[#This Row],[Audit Candidate 9]]-Audit[[#This Row],[Candidate 9]], "")</f>
        <v/>
      </c>
      <c r="AN41" s="114" t="str">
        <f>IF(NOT(ISBLANK(Audit[[#This Row],[Audit Candidate 10]])), Audit[[#This Row],[Audit Candidate 10]]-Audit[[#This Row],[Candidate 10]], "")</f>
        <v/>
      </c>
      <c r="AO41" s="114" t="str">
        <f>IF(NOT(ISBLANK(Audit[[#This Row],[Audit Candidate 11]])), Audit[[#This Row],[Audit Candidate 11]]-Audit[[#This Row],[Candidate 11]], "")</f>
        <v/>
      </c>
      <c r="AP41" s="114" t="str">
        <f>IF(NOT(ISBLANK(Audit[[#This Row],[Audit Candidate 12]])), Audit[[#This Row],[Audit Candidate 12]]-Audit[[#This Row],[Candidate 12]], "")</f>
        <v/>
      </c>
      <c r="AQ41" s="114">
        <f>SUMIF(Audit[[#This Row],[Difference Winner]:[Difference Candidate 12]], "&gt;0")</f>
        <v>0</v>
      </c>
      <c r="AR41" s="114">
        <f>SUM(Audit[[#This Row],[Difference Winner]:[Difference Candidate 12]])</f>
        <v>0</v>
      </c>
      <c r="AS41" s="114">
        <f>IF(Audit[[#This Row],[Times p Drawn - With Replacement]]&gt;0, IF(Audit[[#This Row],[Canceled Differences]]&lt;0, Audit[[#This Row],[Max Differences]]+ABS(Audit[[#This Row],[Canceled Differences]]), Audit[[#This Row],[Max Differences]]), 0)</f>
        <v>0</v>
      </c>
      <c r="AT41" s="114">
        <f>'Sampling Data'!AB41</f>
        <v>3.6660135263257695E-3</v>
      </c>
      <c r="AU41" s="114">
        <f>IF(
      SUM(Audit[[#This Row],[Audit Losing Candidate]:[Audit Candidate 12]])
      &lt;&gt;0,
      (Audit[[#This Row],[Winning Candidate]]-Audit[[#This Row],[Losing Candidate]]-(Audit[[#This Row],[Audit Winning Candidate]]-Audit[[#This Row],[Audit Losing Candidate]]))/(Audit[[#Totals],[Winning Candidate]]-Audit[[#Totals],[Losing Candidate]]),
      0
)</f>
        <v>0</v>
      </c>
      <c r="AV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 s="114">
        <f>IF(Audit[[#This Row],[Max Relative Error (ep)]] = 0, 0, Audit[[#This Row],[Max Relative Error (ep)]]/Audit[[#This Row],[Error Bound (up) - Max. possible relative overstatement]])</f>
        <v>0</v>
      </c>
      <c r="BH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1" s="114">
        <f t="shared" si="1"/>
        <v>1</v>
      </c>
      <c r="BJ41" s="114">
        <f>PRODUCT($BI$5:BI41)</f>
        <v>0.59414444935226851</v>
      </c>
      <c r="BK41" s="112">
        <f>1 - Audit[[#This Row],[K-M P Value]]</f>
        <v>0.40585555064773149</v>
      </c>
      <c r="BL41" s="114" t="str">
        <f>IF(Audit[[#This Row],[K-M P Value]]&gt;1-'General Info'!$B$12,"Continue", "Stop")</f>
        <v>Continue</v>
      </c>
      <c r="BM41" s="113" t="b">
        <f>IF(Audit[[#This Row],[Status - Continue or stop audit]] = "Continue", TRUE, IF(BL40 = "Continue", TRUE, FALSE))</f>
        <v>1</v>
      </c>
      <c r="BN41" s="113"/>
    </row>
    <row r="42" spans="1:66" ht="15" hidden="1" customHeight="1" x14ac:dyDescent="0.35">
      <c r="A42" s="114" t="str">
        <f>'Sampling Data'!AI42</f>
        <v/>
      </c>
      <c r="B42" s="114" t="str">
        <f>'Sampling Data'!A42</f>
        <v>0501 CIN 5-A   (AV)</v>
      </c>
      <c r="C42" s="114">
        <f>'Sampling Data'!B42</f>
        <v>15</v>
      </c>
      <c r="D42" s="114">
        <f>'Sampling Data'!C42</f>
        <v>10</v>
      </c>
      <c r="E42" s="115">
        <f>'Sampling Data'!D42</f>
        <v>6</v>
      </c>
      <c r="F42" s="115">
        <f>'Sampling Data'!E42</f>
        <v>0</v>
      </c>
      <c r="G42" s="115">
        <f>'Sampling Data'!F42</f>
        <v>0</v>
      </c>
      <c r="H42" s="115">
        <f>'Sampling Data'!G42</f>
        <v>0</v>
      </c>
      <c r="I42" s="115">
        <f>'Sampling Data'!H42</f>
        <v>0</v>
      </c>
      <c r="J42" s="115">
        <f>'Sampling Data'!I42</f>
        <v>0</v>
      </c>
      <c r="K42" s="115">
        <f>'Sampling Data'!J42</f>
        <v>0</v>
      </c>
      <c r="L42" s="115">
        <f>'Sampling Data'!K42</f>
        <v>0</v>
      </c>
      <c r="M42" s="115">
        <f>'Sampling Data'!L42</f>
        <v>0</v>
      </c>
      <c r="N42" s="115">
        <f>'Sampling Data'!M42</f>
        <v>0</v>
      </c>
      <c r="O42" s="114">
        <f>'Sampling Data'!N42</f>
        <v>0</v>
      </c>
      <c r="P42" s="114">
        <f>'Sampling Data'!O42</f>
        <v>0</v>
      </c>
      <c r="Q42" s="114">
        <f>'Sampling Data'!P42</f>
        <v>31</v>
      </c>
      <c r="R42" s="114">
        <f>'Sampling Data'!AJ42</f>
        <v>0</v>
      </c>
      <c r="S42" s="116"/>
      <c r="T42" s="116"/>
      <c r="U42" s="117"/>
      <c r="V42" s="117"/>
      <c r="W42" s="116"/>
      <c r="X42" s="116"/>
      <c r="Y42" s="116"/>
      <c r="Z42" s="116"/>
      <c r="AA42" s="15"/>
      <c r="AB42" s="15"/>
      <c r="AC42" s="15"/>
      <c r="AD42" s="15"/>
      <c r="AE42" s="118" t="str">
        <f>IF(NOT(ISBLANK(Audit[[#This Row],[Audit Winning Candidate]])), Audit[[#This Row],[Audit Winning Candidate]]-Audit[[#This Row],[Winning Candidate]], "")</f>
        <v/>
      </c>
      <c r="AF42" s="114" t="str">
        <f>IF(NOT(ISBLANK(Audit[[#This Row],[Audit Losing Candidate]])), Audit[[#This Row],[Audit Losing Candidate]]-Audit[[#This Row],[Losing Candidate]], "")</f>
        <v/>
      </c>
      <c r="AG42" s="114" t="str">
        <f>IF(NOT(ISBLANK(Audit[[#This Row],[Audit Candidate 3]])), Audit[[#This Row],[Audit Candidate 3]]-Audit[[#This Row],[Candidate 3]], "")</f>
        <v/>
      </c>
      <c r="AH42" s="114" t="str">
        <f>IF(NOT(ISBLANK(Audit[[#This Row],[Audit Candidate 4]])),Audit[[#This Row],[Audit Candidate 4]]-Audit[[#This Row],[Candidate 4]], "")</f>
        <v/>
      </c>
      <c r="AI42" s="114" t="str">
        <f>IF(NOT(ISBLANK(Audit[[#This Row],[Audit Candidate 5]])), Audit[[#This Row],[Audit Candidate 5]]-Audit[[#This Row],[Candidate 5]], "")</f>
        <v/>
      </c>
      <c r="AJ42" s="114" t="str">
        <f>IF(NOT(ISBLANK(Audit[[#This Row],[Audit Candidate 6]])), Audit[[#This Row],[Audit Candidate 6]]-Audit[[#This Row],[Candidate 6]], "")</f>
        <v/>
      </c>
      <c r="AK42" s="114" t="str">
        <f>IF(NOT(ISBLANK(Audit[[#This Row],[Audit Candidate 7]])), Audit[[#This Row],[Audit Candidate 7]]-Audit[[#This Row],[Candidate 7]], "")</f>
        <v/>
      </c>
      <c r="AL42" s="114" t="str">
        <f>IF(NOT(ISBLANK(Audit[[#This Row],[Audit Candidate 8]])), Audit[[#This Row],[Audit Candidate 8]]-Audit[[#This Row],[Candidate 8]], "")</f>
        <v/>
      </c>
      <c r="AM42" s="114" t="str">
        <f>IF(NOT(ISBLANK(Audit[[#This Row],[Audit Candidate 9]])), Audit[[#This Row],[Audit Candidate 9]]-Audit[[#This Row],[Candidate 9]], "")</f>
        <v/>
      </c>
      <c r="AN42" s="114" t="str">
        <f>IF(NOT(ISBLANK(Audit[[#This Row],[Audit Candidate 10]])), Audit[[#This Row],[Audit Candidate 10]]-Audit[[#This Row],[Candidate 10]], "")</f>
        <v/>
      </c>
      <c r="AO42" s="114" t="str">
        <f>IF(NOT(ISBLANK(Audit[[#This Row],[Audit Candidate 11]])), Audit[[#This Row],[Audit Candidate 11]]-Audit[[#This Row],[Candidate 11]], "")</f>
        <v/>
      </c>
      <c r="AP42" s="114" t="str">
        <f>IF(NOT(ISBLANK(Audit[[#This Row],[Audit Candidate 12]])), Audit[[#This Row],[Audit Candidate 12]]-Audit[[#This Row],[Candidate 12]], "")</f>
        <v/>
      </c>
      <c r="AQ42" s="114">
        <f>SUMIF(Audit[[#This Row],[Difference Winner]:[Difference Candidate 12]], "&gt;0")</f>
        <v>0</v>
      </c>
      <c r="AR42" s="114">
        <f>SUM(Audit[[#This Row],[Difference Winner]:[Difference Candidate 12]])</f>
        <v>0</v>
      </c>
      <c r="AS42" s="114">
        <f>IF(Audit[[#This Row],[Times p Drawn - With Replacement]]&gt;0, IF(Audit[[#This Row],[Canceled Differences]]&lt;0, Audit[[#This Row],[Max Differences]]+ABS(Audit[[#This Row],[Canceled Differences]]), Audit[[#This Row],[Max Differences]]), 0)</f>
        <v>0</v>
      </c>
      <c r="AT42" s="114">
        <f>'Sampling Data'!AB42</f>
        <v>2.2754566715125464E-3</v>
      </c>
      <c r="AU42" s="114">
        <f>IF(
      SUM(Audit[[#This Row],[Audit Losing Candidate]:[Audit Candidate 12]])
      &lt;&gt;0,
      (Audit[[#This Row],[Winning Candidate]]-Audit[[#This Row],[Losing Candidate]]-(Audit[[#This Row],[Audit Winning Candidate]]-Audit[[#This Row],[Audit Losing Candidate]]))/(Audit[[#Totals],[Winning Candidate]]-Audit[[#Totals],[Losing Candidate]]),
      0
)</f>
        <v>0</v>
      </c>
      <c r="AV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 s="114">
        <f>IF(Audit[[#This Row],[Max Relative Error (ep)]] = 0, 0, Audit[[#This Row],[Max Relative Error (ep)]]/Audit[[#This Row],[Error Bound (up) - Max. possible relative overstatement]])</f>
        <v>0</v>
      </c>
      <c r="BH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2" s="114">
        <f t="shared" si="1"/>
        <v>1</v>
      </c>
      <c r="BJ42" s="114">
        <f>PRODUCT($BI$5:BI42)</f>
        <v>0.59414444935226851</v>
      </c>
      <c r="BK42" s="112">
        <f>1 - Audit[[#This Row],[K-M P Value]]</f>
        <v>0.40585555064773149</v>
      </c>
      <c r="BL42" s="114" t="str">
        <f>IF(Audit[[#This Row],[K-M P Value]]&gt;1-'General Info'!$B$12,"Continue", "Stop")</f>
        <v>Continue</v>
      </c>
      <c r="BM42" s="113" t="b">
        <f>IF(Audit[[#This Row],[Status - Continue or stop audit]] = "Continue", TRUE, IF(BL41 = "Continue", TRUE, FALSE))</f>
        <v>1</v>
      </c>
      <c r="BN42" s="113"/>
    </row>
    <row r="43" spans="1:66" ht="15" hidden="1" customHeight="1" x14ac:dyDescent="0.35">
      <c r="A43" s="114" t="str">
        <f>'Sampling Data'!AI43</f>
        <v/>
      </c>
      <c r="B43" s="114" t="str">
        <f>'Sampling Data'!A43</f>
        <v>0502 CIN 5-B   (AV)</v>
      </c>
      <c r="C43" s="114">
        <f>'Sampling Data'!B43</f>
        <v>9</v>
      </c>
      <c r="D43" s="114">
        <f>'Sampling Data'!C43</f>
        <v>2</v>
      </c>
      <c r="E43" s="115">
        <f>'Sampling Data'!D43</f>
        <v>1</v>
      </c>
      <c r="F43" s="115">
        <f>'Sampling Data'!E43</f>
        <v>0</v>
      </c>
      <c r="G43" s="115">
        <f>'Sampling Data'!F43</f>
        <v>0</v>
      </c>
      <c r="H43" s="115">
        <f>'Sampling Data'!G43</f>
        <v>0</v>
      </c>
      <c r="I43" s="115">
        <f>'Sampling Data'!H43</f>
        <v>0</v>
      </c>
      <c r="J43" s="115">
        <f>'Sampling Data'!I43</f>
        <v>0</v>
      </c>
      <c r="K43" s="115">
        <f>'Sampling Data'!J43</f>
        <v>0</v>
      </c>
      <c r="L43" s="115">
        <f>'Sampling Data'!K43</f>
        <v>0</v>
      </c>
      <c r="M43" s="115">
        <f>'Sampling Data'!L43</f>
        <v>0</v>
      </c>
      <c r="N43" s="115">
        <f>'Sampling Data'!M43</f>
        <v>0</v>
      </c>
      <c r="O43" s="114">
        <f>'Sampling Data'!N43</f>
        <v>0</v>
      </c>
      <c r="P43" s="114">
        <f>'Sampling Data'!O43</f>
        <v>0</v>
      </c>
      <c r="Q43" s="114">
        <f>'Sampling Data'!P43</f>
        <v>12</v>
      </c>
      <c r="R43" s="114">
        <f>'Sampling Data'!AJ43</f>
        <v>0</v>
      </c>
      <c r="S43" s="116"/>
      <c r="T43" s="116"/>
      <c r="U43" s="117"/>
      <c r="V43" s="117"/>
      <c r="W43" s="116"/>
      <c r="X43" s="116"/>
      <c r="Y43" s="116"/>
      <c r="Z43" s="116"/>
      <c r="AA43" s="15"/>
      <c r="AB43" s="15"/>
      <c r="AC43" s="15"/>
      <c r="AD43" s="15"/>
      <c r="AE43" s="118" t="str">
        <f>IF(NOT(ISBLANK(Audit[[#This Row],[Audit Winning Candidate]])), Audit[[#This Row],[Audit Winning Candidate]]-Audit[[#This Row],[Winning Candidate]], "")</f>
        <v/>
      </c>
      <c r="AF43" s="114" t="str">
        <f>IF(NOT(ISBLANK(Audit[[#This Row],[Audit Losing Candidate]])), Audit[[#This Row],[Audit Losing Candidate]]-Audit[[#This Row],[Losing Candidate]], "")</f>
        <v/>
      </c>
      <c r="AG43" s="114" t="str">
        <f>IF(NOT(ISBLANK(Audit[[#This Row],[Audit Candidate 3]])), Audit[[#This Row],[Audit Candidate 3]]-Audit[[#This Row],[Candidate 3]], "")</f>
        <v/>
      </c>
      <c r="AH43" s="114" t="str">
        <f>IF(NOT(ISBLANK(Audit[[#This Row],[Audit Candidate 4]])),Audit[[#This Row],[Audit Candidate 4]]-Audit[[#This Row],[Candidate 4]], "")</f>
        <v/>
      </c>
      <c r="AI43" s="114" t="str">
        <f>IF(NOT(ISBLANK(Audit[[#This Row],[Audit Candidate 5]])), Audit[[#This Row],[Audit Candidate 5]]-Audit[[#This Row],[Candidate 5]], "")</f>
        <v/>
      </c>
      <c r="AJ43" s="114" t="str">
        <f>IF(NOT(ISBLANK(Audit[[#This Row],[Audit Candidate 6]])), Audit[[#This Row],[Audit Candidate 6]]-Audit[[#This Row],[Candidate 6]], "")</f>
        <v/>
      </c>
      <c r="AK43" s="114" t="str">
        <f>IF(NOT(ISBLANK(Audit[[#This Row],[Audit Candidate 7]])), Audit[[#This Row],[Audit Candidate 7]]-Audit[[#This Row],[Candidate 7]], "")</f>
        <v/>
      </c>
      <c r="AL43" s="114" t="str">
        <f>IF(NOT(ISBLANK(Audit[[#This Row],[Audit Candidate 8]])), Audit[[#This Row],[Audit Candidate 8]]-Audit[[#This Row],[Candidate 8]], "")</f>
        <v/>
      </c>
      <c r="AM43" s="114" t="str">
        <f>IF(NOT(ISBLANK(Audit[[#This Row],[Audit Candidate 9]])), Audit[[#This Row],[Audit Candidate 9]]-Audit[[#This Row],[Candidate 9]], "")</f>
        <v/>
      </c>
      <c r="AN43" s="114" t="str">
        <f>IF(NOT(ISBLANK(Audit[[#This Row],[Audit Candidate 10]])), Audit[[#This Row],[Audit Candidate 10]]-Audit[[#This Row],[Candidate 10]], "")</f>
        <v/>
      </c>
      <c r="AO43" s="114" t="str">
        <f>IF(NOT(ISBLANK(Audit[[#This Row],[Audit Candidate 11]])), Audit[[#This Row],[Audit Candidate 11]]-Audit[[#This Row],[Candidate 11]], "")</f>
        <v/>
      </c>
      <c r="AP43" s="114" t="str">
        <f>IF(NOT(ISBLANK(Audit[[#This Row],[Audit Candidate 12]])), Audit[[#This Row],[Audit Candidate 12]]-Audit[[#This Row],[Candidate 12]], "")</f>
        <v/>
      </c>
      <c r="AQ43" s="114">
        <f>SUMIF(Audit[[#This Row],[Difference Winner]:[Difference Candidate 12]], "&gt;0")</f>
        <v>0</v>
      </c>
      <c r="AR43" s="114">
        <f>SUM(Audit[[#This Row],[Difference Winner]:[Difference Candidate 12]])</f>
        <v>0</v>
      </c>
      <c r="AS43" s="114">
        <f>IF(Audit[[#This Row],[Times p Drawn - With Replacement]]&gt;0, IF(Audit[[#This Row],[Canceled Differences]]&lt;0, Audit[[#This Row],[Max Differences]]+ABS(Audit[[#This Row],[Canceled Differences]]), Audit[[#This Row],[Max Differences]]), 0)</f>
        <v>0</v>
      </c>
      <c r="AT43" s="114">
        <f>'Sampling Data'!AB43</f>
        <v>1.2009354655205108E-3</v>
      </c>
      <c r="AU43" s="114">
        <f>IF(
      SUM(Audit[[#This Row],[Audit Losing Candidate]:[Audit Candidate 12]])
      &lt;&gt;0,
      (Audit[[#This Row],[Winning Candidate]]-Audit[[#This Row],[Losing Candidate]]-(Audit[[#This Row],[Audit Winning Candidate]]-Audit[[#This Row],[Audit Losing Candidate]]))/(Audit[[#Totals],[Winning Candidate]]-Audit[[#Totals],[Losing Candidate]]),
      0
)</f>
        <v>0</v>
      </c>
      <c r="AV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 s="114">
        <f>IF(Audit[[#This Row],[Max Relative Error (ep)]] = 0, 0, Audit[[#This Row],[Max Relative Error (ep)]]/Audit[[#This Row],[Error Bound (up) - Max. possible relative overstatement]])</f>
        <v>0</v>
      </c>
      <c r="BH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3" s="114">
        <f t="shared" si="1"/>
        <v>1</v>
      </c>
      <c r="BJ43" s="114">
        <f>PRODUCT($BI$5:BI43)</f>
        <v>0.59414444935226851</v>
      </c>
      <c r="BK43" s="112">
        <f>1 - Audit[[#This Row],[K-M P Value]]</f>
        <v>0.40585555064773149</v>
      </c>
      <c r="BL43" s="114" t="str">
        <f>IF(Audit[[#This Row],[K-M P Value]]&gt;1-'General Info'!$B$12,"Continue", "Stop")</f>
        <v>Continue</v>
      </c>
      <c r="BM43" s="113" t="b">
        <f>IF(Audit[[#This Row],[Status - Continue or stop audit]] = "Continue", TRUE, IF(BL42 = "Continue", TRUE, FALSE))</f>
        <v>1</v>
      </c>
      <c r="BN43" s="113"/>
    </row>
    <row r="44" spans="1:66" ht="15" hidden="1" customHeight="1" x14ac:dyDescent="0.35">
      <c r="A44" s="114" t="str">
        <f>'Sampling Data'!AI44</f>
        <v/>
      </c>
      <c r="B44" s="114" t="str">
        <f>'Sampling Data'!A44</f>
        <v>0503 CIN 5-C   (AV)</v>
      </c>
      <c r="C44" s="114">
        <f>'Sampling Data'!B44</f>
        <v>27</v>
      </c>
      <c r="D44" s="114">
        <f>'Sampling Data'!C44</f>
        <v>6</v>
      </c>
      <c r="E44" s="115">
        <f>'Sampling Data'!D44</f>
        <v>2</v>
      </c>
      <c r="F44" s="115">
        <f>'Sampling Data'!E44</f>
        <v>0</v>
      </c>
      <c r="G44" s="115">
        <f>'Sampling Data'!F44</f>
        <v>0</v>
      </c>
      <c r="H44" s="115">
        <f>'Sampling Data'!G44</f>
        <v>0</v>
      </c>
      <c r="I44" s="115">
        <f>'Sampling Data'!H44</f>
        <v>0</v>
      </c>
      <c r="J44" s="115">
        <f>'Sampling Data'!I44</f>
        <v>0</v>
      </c>
      <c r="K44" s="115">
        <f>'Sampling Data'!J44</f>
        <v>0</v>
      </c>
      <c r="L44" s="115">
        <f>'Sampling Data'!K44</f>
        <v>0</v>
      </c>
      <c r="M44" s="115">
        <f>'Sampling Data'!L44</f>
        <v>0</v>
      </c>
      <c r="N44" s="115">
        <f>'Sampling Data'!M44</f>
        <v>0</v>
      </c>
      <c r="O44" s="114">
        <f>'Sampling Data'!N44</f>
        <v>0</v>
      </c>
      <c r="P44" s="114">
        <f>'Sampling Data'!O44</f>
        <v>1</v>
      </c>
      <c r="Q44" s="114">
        <f>'Sampling Data'!P44</f>
        <v>36</v>
      </c>
      <c r="R44" s="114">
        <f>'Sampling Data'!AJ44</f>
        <v>0</v>
      </c>
      <c r="S44" s="116"/>
      <c r="T44" s="116"/>
      <c r="U44" s="117"/>
      <c r="V44" s="117"/>
      <c r="W44" s="116"/>
      <c r="X44" s="116"/>
      <c r="Y44" s="116"/>
      <c r="Z44" s="116"/>
      <c r="AA44" s="15"/>
      <c r="AB44" s="15"/>
      <c r="AC44" s="15"/>
      <c r="AD44" s="15"/>
      <c r="AE44" s="118" t="str">
        <f>IF(NOT(ISBLANK(Audit[[#This Row],[Audit Winning Candidate]])), Audit[[#This Row],[Audit Winning Candidate]]-Audit[[#This Row],[Winning Candidate]], "")</f>
        <v/>
      </c>
      <c r="AF44" s="114" t="str">
        <f>IF(NOT(ISBLANK(Audit[[#This Row],[Audit Losing Candidate]])), Audit[[#This Row],[Audit Losing Candidate]]-Audit[[#This Row],[Losing Candidate]], "")</f>
        <v/>
      </c>
      <c r="AG44" s="114" t="str">
        <f>IF(NOT(ISBLANK(Audit[[#This Row],[Audit Candidate 3]])), Audit[[#This Row],[Audit Candidate 3]]-Audit[[#This Row],[Candidate 3]], "")</f>
        <v/>
      </c>
      <c r="AH44" s="114" t="str">
        <f>IF(NOT(ISBLANK(Audit[[#This Row],[Audit Candidate 4]])),Audit[[#This Row],[Audit Candidate 4]]-Audit[[#This Row],[Candidate 4]], "")</f>
        <v/>
      </c>
      <c r="AI44" s="114" t="str">
        <f>IF(NOT(ISBLANK(Audit[[#This Row],[Audit Candidate 5]])), Audit[[#This Row],[Audit Candidate 5]]-Audit[[#This Row],[Candidate 5]], "")</f>
        <v/>
      </c>
      <c r="AJ44" s="114" t="str">
        <f>IF(NOT(ISBLANK(Audit[[#This Row],[Audit Candidate 6]])), Audit[[#This Row],[Audit Candidate 6]]-Audit[[#This Row],[Candidate 6]], "")</f>
        <v/>
      </c>
      <c r="AK44" s="114" t="str">
        <f>IF(NOT(ISBLANK(Audit[[#This Row],[Audit Candidate 7]])), Audit[[#This Row],[Audit Candidate 7]]-Audit[[#This Row],[Candidate 7]], "")</f>
        <v/>
      </c>
      <c r="AL44" s="114" t="str">
        <f>IF(NOT(ISBLANK(Audit[[#This Row],[Audit Candidate 8]])), Audit[[#This Row],[Audit Candidate 8]]-Audit[[#This Row],[Candidate 8]], "")</f>
        <v/>
      </c>
      <c r="AM44" s="114" t="str">
        <f>IF(NOT(ISBLANK(Audit[[#This Row],[Audit Candidate 9]])), Audit[[#This Row],[Audit Candidate 9]]-Audit[[#This Row],[Candidate 9]], "")</f>
        <v/>
      </c>
      <c r="AN44" s="114" t="str">
        <f>IF(NOT(ISBLANK(Audit[[#This Row],[Audit Candidate 10]])), Audit[[#This Row],[Audit Candidate 10]]-Audit[[#This Row],[Candidate 10]], "")</f>
        <v/>
      </c>
      <c r="AO44" s="114" t="str">
        <f>IF(NOT(ISBLANK(Audit[[#This Row],[Audit Candidate 11]])), Audit[[#This Row],[Audit Candidate 11]]-Audit[[#This Row],[Candidate 11]], "")</f>
        <v/>
      </c>
      <c r="AP44" s="114" t="str">
        <f>IF(NOT(ISBLANK(Audit[[#This Row],[Audit Candidate 12]])), Audit[[#This Row],[Audit Candidate 12]]-Audit[[#This Row],[Candidate 12]], "")</f>
        <v/>
      </c>
      <c r="AQ44" s="114">
        <f>SUMIF(Audit[[#This Row],[Difference Winner]:[Difference Candidate 12]], "&gt;0")</f>
        <v>0</v>
      </c>
      <c r="AR44" s="114">
        <f>SUM(Audit[[#This Row],[Difference Winner]:[Difference Candidate 12]])</f>
        <v>0</v>
      </c>
      <c r="AS44" s="114">
        <f>IF(Audit[[#This Row],[Times p Drawn - With Replacement]]&gt;0, IF(Audit[[#This Row],[Canceled Differences]]&lt;0, Audit[[#This Row],[Max Differences]]+ABS(Audit[[#This Row],[Canceled Differences]]), Audit[[#This Row],[Max Differences]]), 0)</f>
        <v>0</v>
      </c>
      <c r="AT44" s="114">
        <f>'Sampling Data'!AB44</f>
        <v>3.6028063965615319E-3</v>
      </c>
      <c r="AU44" s="114">
        <f>IF(
      SUM(Audit[[#This Row],[Audit Losing Candidate]:[Audit Candidate 12]])
      &lt;&gt;0,
      (Audit[[#This Row],[Winning Candidate]]-Audit[[#This Row],[Losing Candidate]]-(Audit[[#This Row],[Audit Winning Candidate]]-Audit[[#This Row],[Audit Losing Candidate]]))/(Audit[[#Totals],[Winning Candidate]]-Audit[[#Totals],[Losing Candidate]]),
      0
)</f>
        <v>0</v>
      </c>
      <c r="AV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 s="114">
        <f>IF(Audit[[#This Row],[Max Relative Error (ep)]] = 0, 0, Audit[[#This Row],[Max Relative Error (ep)]]/Audit[[#This Row],[Error Bound (up) - Max. possible relative overstatement]])</f>
        <v>0</v>
      </c>
      <c r="BH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4" s="114">
        <f t="shared" si="1"/>
        <v>1</v>
      </c>
      <c r="BJ44" s="114">
        <f>PRODUCT($BI$5:BI44)</f>
        <v>0.59414444935226851</v>
      </c>
      <c r="BK44" s="112">
        <f>1 - Audit[[#This Row],[K-M P Value]]</f>
        <v>0.40585555064773149</v>
      </c>
      <c r="BL44" s="114" t="str">
        <f>IF(Audit[[#This Row],[K-M P Value]]&gt;1-'General Info'!$B$12,"Continue", "Stop")</f>
        <v>Continue</v>
      </c>
      <c r="BM44" s="113" t="b">
        <f>IF(Audit[[#This Row],[Status - Continue or stop audit]] = "Continue", TRUE, IF(BL43 = "Continue", TRUE, FALSE))</f>
        <v>1</v>
      </c>
      <c r="BN44" s="113"/>
    </row>
    <row r="45" spans="1:66" ht="15" hidden="1" customHeight="1" x14ac:dyDescent="0.35">
      <c r="A45" s="114" t="str">
        <f>'Sampling Data'!AI45</f>
        <v/>
      </c>
      <c r="B45" s="114" t="str">
        <f>'Sampling Data'!A45</f>
        <v>0504 CIN 5-D   (AV)</v>
      </c>
      <c r="C45" s="114">
        <f>'Sampling Data'!B45</f>
        <v>48</v>
      </c>
      <c r="D45" s="114">
        <f>'Sampling Data'!C45</f>
        <v>2</v>
      </c>
      <c r="E45" s="115">
        <f>'Sampling Data'!D45</f>
        <v>3</v>
      </c>
      <c r="F45" s="115">
        <f>'Sampling Data'!E45</f>
        <v>0</v>
      </c>
      <c r="G45" s="115">
        <f>'Sampling Data'!F45</f>
        <v>0</v>
      </c>
      <c r="H45" s="115">
        <f>'Sampling Data'!G45</f>
        <v>0</v>
      </c>
      <c r="I45" s="115">
        <f>'Sampling Data'!H45</f>
        <v>0</v>
      </c>
      <c r="J45" s="115">
        <f>'Sampling Data'!I45</f>
        <v>0</v>
      </c>
      <c r="K45" s="115">
        <f>'Sampling Data'!J45</f>
        <v>0</v>
      </c>
      <c r="L45" s="115">
        <f>'Sampling Data'!K45</f>
        <v>0</v>
      </c>
      <c r="M45" s="115">
        <f>'Sampling Data'!L45</f>
        <v>0</v>
      </c>
      <c r="N45" s="115">
        <f>'Sampling Data'!M45</f>
        <v>0</v>
      </c>
      <c r="O45" s="114">
        <f>'Sampling Data'!N45</f>
        <v>0</v>
      </c>
      <c r="P45" s="114">
        <f>'Sampling Data'!O45</f>
        <v>0</v>
      </c>
      <c r="Q45" s="114">
        <f>'Sampling Data'!P45</f>
        <v>53</v>
      </c>
      <c r="R45" s="114">
        <f>'Sampling Data'!AJ45</f>
        <v>0</v>
      </c>
      <c r="S45" s="116"/>
      <c r="T45" s="116"/>
      <c r="U45" s="117"/>
      <c r="V45" s="117"/>
      <c r="W45" s="116"/>
      <c r="X45" s="116"/>
      <c r="Y45" s="116"/>
      <c r="Z45" s="116"/>
      <c r="AA45" s="15"/>
      <c r="AB45" s="15"/>
      <c r="AC45" s="15"/>
      <c r="AD45" s="15"/>
      <c r="AE45" s="118" t="str">
        <f>IF(NOT(ISBLANK(Audit[[#This Row],[Audit Winning Candidate]])), Audit[[#This Row],[Audit Winning Candidate]]-Audit[[#This Row],[Winning Candidate]], "")</f>
        <v/>
      </c>
      <c r="AF45" s="114" t="str">
        <f>IF(NOT(ISBLANK(Audit[[#This Row],[Audit Losing Candidate]])), Audit[[#This Row],[Audit Losing Candidate]]-Audit[[#This Row],[Losing Candidate]], "")</f>
        <v/>
      </c>
      <c r="AG45" s="114" t="str">
        <f>IF(NOT(ISBLANK(Audit[[#This Row],[Audit Candidate 3]])), Audit[[#This Row],[Audit Candidate 3]]-Audit[[#This Row],[Candidate 3]], "")</f>
        <v/>
      </c>
      <c r="AH45" s="114" t="str">
        <f>IF(NOT(ISBLANK(Audit[[#This Row],[Audit Candidate 4]])),Audit[[#This Row],[Audit Candidate 4]]-Audit[[#This Row],[Candidate 4]], "")</f>
        <v/>
      </c>
      <c r="AI45" s="114" t="str">
        <f>IF(NOT(ISBLANK(Audit[[#This Row],[Audit Candidate 5]])), Audit[[#This Row],[Audit Candidate 5]]-Audit[[#This Row],[Candidate 5]], "")</f>
        <v/>
      </c>
      <c r="AJ45" s="114" t="str">
        <f>IF(NOT(ISBLANK(Audit[[#This Row],[Audit Candidate 6]])), Audit[[#This Row],[Audit Candidate 6]]-Audit[[#This Row],[Candidate 6]], "")</f>
        <v/>
      </c>
      <c r="AK45" s="114" t="str">
        <f>IF(NOT(ISBLANK(Audit[[#This Row],[Audit Candidate 7]])), Audit[[#This Row],[Audit Candidate 7]]-Audit[[#This Row],[Candidate 7]], "")</f>
        <v/>
      </c>
      <c r="AL45" s="114" t="str">
        <f>IF(NOT(ISBLANK(Audit[[#This Row],[Audit Candidate 8]])), Audit[[#This Row],[Audit Candidate 8]]-Audit[[#This Row],[Candidate 8]], "")</f>
        <v/>
      </c>
      <c r="AM45" s="114" t="str">
        <f>IF(NOT(ISBLANK(Audit[[#This Row],[Audit Candidate 9]])), Audit[[#This Row],[Audit Candidate 9]]-Audit[[#This Row],[Candidate 9]], "")</f>
        <v/>
      </c>
      <c r="AN45" s="114" t="str">
        <f>IF(NOT(ISBLANK(Audit[[#This Row],[Audit Candidate 10]])), Audit[[#This Row],[Audit Candidate 10]]-Audit[[#This Row],[Candidate 10]], "")</f>
        <v/>
      </c>
      <c r="AO45" s="114" t="str">
        <f>IF(NOT(ISBLANK(Audit[[#This Row],[Audit Candidate 11]])), Audit[[#This Row],[Audit Candidate 11]]-Audit[[#This Row],[Candidate 11]], "")</f>
        <v/>
      </c>
      <c r="AP45" s="114" t="str">
        <f>IF(NOT(ISBLANK(Audit[[#This Row],[Audit Candidate 12]])), Audit[[#This Row],[Audit Candidate 12]]-Audit[[#This Row],[Candidate 12]], "")</f>
        <v/>
      </c>
      <c r="AQ45" s="114">
        <f>SUMIF(Audit[[#This Row],[Difference Winner]:[Difference Candidate 12]], "&gt;0")</f>
        <v>0</v>
      </c>
      <c r="AR45" s="114">
        <f>SUM(Audit[[#This Row],[Difference Winner]:[Difference Candidate 12]])</f>
        <v>0</v>
      </c>
      <c r="AS45" s="114">
        <f>IF(Audit[[#This Row],[Times p Drawn - With Replacement]]&gt;0, IF(Audit[[#This Row],[Canceled Differences]]&lt;0, Audit[[#This Row],[Max Differences]]+ABS(Audit[[#This Row],[Canceled Differences]]), Audit[[#This Row],[Max Differences]]), 0)</f>
        <v>0</v>
      </c>
      <c r="AT45" s="114">
        <f>'Sampling Data'!AB45</f>
        <v>6.2575058466595029E-3</v>
      </c>
      <c r="AU45" s="114">
        <f>IF(
      SUM(Audit[[#This Row],[Audit Losing Candidate]:[Audit Candidate 12]])
      &lt;&gt;0,
      (Audit[[#This Row],[Winning Candidate]]-Audit[[#This Row],[Losing Candidate]]-(Audit[[#This Row],[Audit Winning Candidate]]-Audit[[#This Row],[Audit Losing Candidate]]))/(Audit[[#Totals],[Winning Candidate]]-Audit[[#Totals],[Losing Candidate]]),
      0
)</f>
        <v>0</v>
      </c>
      <c r="AV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 s="114">
        <f>IF(Audit[[#This Row],[Max Relative Error (ep)]] = 0, 0, Audit[[#This Row],[Max Relative Error (ep)]]/Audit[[#This Row],[Error Bound (up) - Max. possible relative overstatement]])</f>
        <v>0</v>
      </c>
      <c r="BH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5" s="114">
        <f t="shared" si="1"/>
        <v>1</v>
      </c>
      <c r="BJ45" s="114">
        <f>PRODUCT($BI$5:BI45)</f>
        <v>0.59414444935226851</v>
      </c>
      <c r="BK45" s="112">
        <f>1 - Audit[[#This Row],[K-M P Value]]</f>
        <v>0.40585555064773149</v>
      </c>
      <c r="BL45" s="114" t="str">
        <f>IF(Audit[[#This Row],[K-M P Value]]&gt;1-'General Info'!$B$12,"Continue", "Stop")</f>
        <v>Continue</v>
      </c>
      <c r="BM45" s="113" t="b">
        <f>IF(Audit[[#This Row],[Status - Continue or stop audit]] = "Continue", TRUE, IF(BL44 = "Continue", TRUE, FALSE))</f>
        <v>1</v>
      </c>
      <c r="BN45" s="113"/>
    </row>
    <row r="46" spans="1:66" ht="15" hidden="1" customHeight="1" x14ac:dyDescent="0.35">
      <c r="A46" s="114" t="str">
        <f>'Sampling Data'!AI46</f>
        <v/>
      </c>
      <c r="B46" s="114" t="str">
        <f>'Sampling Data'!A46</f>
        <v>0505 CIN 5-E   (AV)</v>
      </c>
      <c r="C46" s="114">
        <f>'Sampling Data'!B46</f>
        <v>41</v>
      </c>
      <c r="D46" s="114">
        <f>'Sampling Data'!C46</f>
        <v>7</v>
      </c>
      <c r="E46" s="115">
        <f>'Sampling Data'!D46</f>
        <v>2</v>
      </c>
      <c r="F46" s="115">
        <f>'Sampling Data'!E46</f>
        <v>0</v>
      </c>
      <c r="G46" s="115">
        <f>'Sampling Data'!F46</f>
        <v>0</v>
      </c>
      <c r="H46" s="115">
        <f>'Sampling Data'!G46</f>
        <v>0</v>
      </c>
      <c r="I46" s="115">
        <f>'Sampling Data'!H46</f>
        <v>0</v>
      </c>
      <c r="J46" s="115">
        <f>'Sampling Data'!I46</f>
        <v>0</v>
      </c>
      <c r="K46" s="115">
        <f>'Sampling Data'!J46</f>
        <v>0</v>
      </c>
      <c r="L46" s="115">
        <f>'Sampling Data'!K46</f>
        <v>0</v>
      </c>
      <c r="M46" s="115">
        <f>'Sampling Data'!L46</f>
        <v>0</v>
      </c>
      <c r="N46" s="115">
        <f>'Sampling Data'!M46</f>
        <v>0</v>
      </c>
      <c r="O46" s="114">
        <f>'Sampling Data'!N46</f>
        <v>0</v>
      </c>
      <c r="P46" s="114">
        <f>'Sampling Data'!O46</f>
        <v>0</v>
      </c>
      <c r="Q46" s="114">
        <f>'Sampling Data'!P46</f>
        <v>50</v>
      </c>
      <c r="R46" s="114">
        <f>'Sampling Data'!AJ46</f>
        <v>0</v>
      </c>
      <c r="S46" s="116"/>
      <c r="T46" s="116"/>
      <c r="U46" s="117"/>
      <c r="V46" s="117"/>
      <c r="W46" s="116"/>
      <c r="X46" s="116"/>
      <c r="Y46" s="116"/>
      <c r="Z46" s="116"/>
      <c r="AA46" s="15"/>
      <c r="AB46" s="15"/>
      <c r="AC46" s="15"/>
      <c r="AD46" s="15"/>
      <c r="AE46" s="118" t="str">
        <f>IF(NOT(ISBLANK(Audit[[#This Row],[Audit Winning Candidate]])), Audit[[#This Row],[Audit Winning Candidate]]-Audit[[#This Row],[Winning Candidate]], "")</f>
        <v/>
      </c>
      <c r="AF46" s="114" t="str">
        <f>IF(NOT(ISBLANK(Audit[[#This Row],[Audit Losing Candidate]])), Audit[[#This Row],[Audit Losing Candidate]]-Audit[[#This Row],[Losing Candidate]], "")</f>
        <v/>
      </c>
      <c r="AG46" s="114" t="str">
        <f>IF(NOT(ISBLANK(Audit[[#This Row],[Audit Candidate 3]])), Audit[[#This Row],[Audit Candidate 3]]-Audit[[#This Row],[Candidate 3]], "")</f>
        <v/>
      </c>
      <c r="AH46" s="114" t="str">
        <f>IF(NOT(ISBLANK(Audit[[#This Row],[Audit Candidate 4]])),Audit[[#This Row],[Audit Candidate 4]]-Audit[[#This Row],[Candidate 4]], "")</f>
        <v/>
      </c>
      <c r="AI46" s="114" t="str">
        <f>IF(NOT(ISBLANK(Audit[[#This Row],[Audit Candidate 5]])), Audit[[#This Row],[Audit Candidate 5]]-Audit[[#This Row],[Candidate 5]], "")</f>
        <v/>
      </c>
      <c r="AJ46" s="114" t="str">
        <f>IF(NOT(ISBLANK(Audit[[#This Row],[Audit Candidate 6]])), Audit[[#This Row],[Audit Candidate 6]]-Audit[[#This Row],[Candidate 6]], "")</f>
        <v/>
      </c>
      <c r="AK46" s="114" t="str">
        <f>IF(NOT(ISBLANK(Audit[[#This Row],[Audit Candidate 7]])), Audit[[#This Row],[Audit Candidate 7]]-Audit[[#This Row],[Candidate 7]], "")</f>
        <v/>
      </c>
      <c r="AL46" s="114" t="str">
        <f>IF(NOT(ISBLANK(Audit[[#This Row],[Audit Candidate 8]])), Audit[[#This Row],[Audit Candidate 8]]-Audit[[#This Row],[Candidate 8]], "")</f>
        <v/>
      </c>
      <c r="AM46" s="114" t="str">
        <f>IF(NOT(ISBLANK(Audit[[#This Row],[Audit Candidate 9]])), Audit[[#This Row],[Audit Candidate 9]]-Audit[[#This Row],[Candidate 9]], "")</f>
        <v/>
      </c>
      <c r="AN46" s="114" t="str">
        <f>IF(NOT(ISBLANK(Audit[[#This Row],[Audit Candidate 10]])), Audit[[#This Row],[Audit Candidate 10]]-Audit[[#This Row],[Candidate 10]], "")</f>
        <v/>
      </c>
      <c r="AO46" s="114" t="str">
        <f>IF(NOT(ISBLANK(Audit[[#This Row],[Audit Candidate 11]])), Audit[[#This Row],[Audit Candidate 11]]-Audit[[#This Row],[Candidate 11]], "")</f>
        <v/>
      </c>
      <c r="AP46" s="114" t="str">
        <f>IF(NOT(ISBLANK(Audit[[#This Row],[Audit Candidate 12]])), Audit[[#This Row],[Audit Candidate 12]]-Audit[[#This Row],[Candidate 12]], "")</f>
        <v/>
      </c>
      <c r="AQ46" s="114">
        <f>SUMIF(Audit[[#This Row],[Difference Winner]:[Difference Candidate 12]], "&gt;0")</f>
        <v>0</v>
      </c>
      <c r="AR46" s="114">
        <f>SUM(Audit[[#This Row],[Difference Winner]:[Difference Candidate 12]])</f>
        <v>0</v>
      </c>
      <c r="AS46" s="114">
        <f>IF(Audit[[#This Row],[Times p Drawn - With Replacement]]&gt;0, IF(Audit[[#This Row],[Canceled Differences]]&lt;0, Audit[[#This Row],[Max Differences]]+ABS(Audit[[#This Row],[Canceled Differences]]), Audit[[#This Row],[Max Differences]]), 0)</f>
        <v>0</v>
      </c>
      <c r="AT46" s="114">
        <f>'Sampling Data'!AB46</f>
        <v>5.309398900195942E-3</v>
      </c>
      <c r="AU46" s="114">
        <f>IF(
      SUM(Audit[[#This Row],[Audit Losing Candidate]:[Audit Candidate 12]])
      &lt;&gt;0,
      (Audit[[#This Row],[Winning Candidate]]-Audit[[#This Row],[Losing Candidate]]-(Audit[[#This Row],[Audit Winning Candidate]]-Audit[[#This Row],[Audit Losing Candidate]]))/(Audit[[#Totals],[Winning Candidate]]-Audit[[#Totals],[Losing Candidate]]),
      0
)</f>
        <v>0</v>
      </c>
      <c r="AV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 s="114">
        <f>IF(Audit[[#This Row],[Max Relative Error (ep)]] = 0, 0, Audit[[#This Row],[Max Relative Error (ep)]]/Audit[[#This Row],[Error Bound (up) - Max. possible relative overstatement]])</f>
        <v>0</v>
      </c>
      <c r="BH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6" s="114">
        <f t="shared" si="1"/>
        <v>1</v>
      </c>
      <c r="BJ46" s="114">
        <f>PRODUCT($BI$5:BI46)</f>
        <v>0.59414444935226851</v>
      </c>
      <c r="BK46" s="112">
        <f>1 - Audit[[#This Row],[K-M P Value]]</f>
        <v>0.40585555064773149</v>
      </c>
      <c r="BL46" s="114" t="str">
        <f>IF(Audit[[#This Row],[K-M P Value]]&gt;1-'General Info'!$B$12,"Continue", "Stop")</f>
        <v>Continue</v>
      </c>
      <c r="BM46" s="113" t="b">
        <f>IF(Audit[[#This Row],[Status - Continue or stop audit]] = "Continue", TRUE, IF(BL45 = "Continue", TRUE, FALSE))</f>
        <v>1</v>
      </c>
      <c r="BN46" s="113"/>
    </row>
    <row r="47" spans="1:66" ht="15" hidden="1" customHeight="1" x14ac:dyDescent="0.35">
      <c r="A47" s="114" t="str">
        <f>'Sampling Data'!AI47</f>
        <v/>
      </c>
      <c r="B47" s="114" t="str">
        <f>'Sampling Data'!A47</f>
        <v>0506 CIN 5-F   (AV)</v>
      </c>
      <c r="C47" s="114">
        <f>'Sampling Data'!B47</f>
        <v>24</v>
      </c>
      <c r="D47" s="114">
        <f>'Sampling Data'!C47</f>
        <v>7</v>
      </c>
      <c r="E47" s="115">
        <f>'Sampling Data'!D47</f>
        <v>0</v>
      </c>
      <c r="F47" s="115">
        <f>'Sampling Data'!E47</f>
        <v>0</v>
      </c>
      <c r="G47" s="115">
        <f>'Sampling Data'!F47</f>
        <v>0</v>
      </c>
      <c r="H47" s="115">
        <f>'Sampling Data'!G47</f>
        <v>0</v>
      </c>
      <c r="I47" s="115">
        <f>'Sampling Data'!H47</f>
        <v>0</v>
      </c>
      <c r="J47" s="115">
        <f>'Sampling Data'!I47</f>
        <v>0</v>
      </c>
      <c r="K47" s="115">
        <f>'Sampling Data'!J47</f>
        <v>0</v>
      </c>
      <c r="L47" s="115">
        <f>'Sampling Data'!K47</f>
        <v>0</v>
      </c>
      <c r="M47" s="115">
        <f>'Sampling Data'!L47</f>
        <v>0</v>
      </c>
      <c r="N47" s="115">
        <f>'Sampling Data'!M47</f>
        <v>0</v>
      </c>
      <c r="O47" s="114">
        <f>'Sampling Data'!N47</f>
        <v>0</v>
      </c>
      <c r="P47" s="114">
        <f>'Sampling Data'!O47</f>
        <v>0</v>
      </c>
      <c r="Q47" s="114">
        <f>'Sampling Data'!P47</f>
        <v>31</v>
      </c>
      <c r="R47" s="114">
        <f>'Sampling Data'!AJ47</f>
        <v>0</v>
      </c>
      <c r="S47" s="116"/>
      <c r="T47" s="116"/>
      <c r="U47" s="117"/>
      <c r="V47" s="117"/>
      <c r="W47" s="116"/>
      <c r="X47" s="116"/>
      <c r="Y47" s="116"/>
      <c r="Z47" s="116"/>
      <c r="AA47" s="15"/>
      <c r="AB47" s="15"/>
      <c r="AC47" s="15"/>
      <c r="AD47" s="15"/>
      <c r="AE47" s="118" t="str">
        <f>IF(NOT(ISBLANK(Audit[[#This Row],[Audit Winning Candidate]])), Audit[[#This Row],[Audit Winning Candidate]]-Audit[[#This Row],[Winning Candidate]], "")</f>
        <v/>
      </c>
      <c r="AF47" s="114" t="str">
        <f>IF(NOT(ISBLANK(Audit[[#This Row],[Audit Losing Candidate]])), Audit[[#This Row],[Audit Losing Candidate]]-Audit[[#This Row],[Losing Candidate]], "")</f>
        <v/>
      </c>
      <c r="AG47" s="114" t="str">
        <f>IF(NOT(ISBLANK(Audit[[#This Row],[Audit Candidate 3]])), Audit[[#This Row],[Audit Candidate 3]]-Audit[[#This Row],[Candidate 3]], "")</f>
        <v/>
      </c>
      <c r="AH47" s="114" t="str">
        <f>IF(NOT(ISBLANK(Audit[[#This Row],[Audit Candidate 4]])),Audit[[#This Row],[Audit Candidate 4]]-Audit[[#This Row],[Candidate 4]], "")</f>
        <v/>
      </c>
      <c r="AI47" s="114" t="str">
        <f>IF(NOT(ISBLANK(Audit[[#This Row],[Audit Candidate 5]])), Audit[[#This Row],[Audit Candidate 5]]-Audit[[#This Row],[Candidate 5]], "")</f>
        <v/>
      </c>
      <c r="AJ47" s="114" t="str">
        <f>IF(NOT(ISBLANK(Audit[[#This Row],[Audit Candidate 6]])), Audit[[#This Row],[Audit Candidate 6]]-Audit[[#This Row],[Candidate 6]], "")</f>
        <v/>
      </c>
      <c r="AK47" s="114" t="str">
        <f>IF(NOT(ISBLANK(Audit[[#This Row],[Audit Candidate 7]])), Audit[[#This Row],[Audit Candidate 7]]-Audit[[#This Row],[Candidate 7]], "")</f>
        <v/>
      </c>
      <c r="AL47" s="114" t="str">
        <f>IF(NOT(ISBLANK(Audit[[#This Row],[Audit Candidate 8]])), Audit[[#This Row],[Audit Candidate 8]]-Audit[[#This Row],[Candidate 8]], "")</f>
        <v/>
      </c>
      <c r="AM47" s="114" t="str">
        <f>IF(NOT(ISBLANK(Audit[[#This Row],[Audit Candidate 9]])), Audit[[#This Row],[Audit Candidate 9]]-Audit[[#This Row],[Candidate 9]], "")</f>
        <v/>
      </c>
      <c r="AN47" s="114" t="str">
        <f>IF(NOT(ISBLANK(Audit[[#This Row],[Audit Candidate 10]])), Audit[[#This Row],[Audit Candidate 10]]-Audit[[#This Row],[Candidate 10]], "")</f>
        <v/>
      </c>
      <c r="AO47" s="114" t="str">
        <f>IF(NOT(ISBLANK(Audit[[#This Row],[Audit Candidate 11]])), Audit[[#This Row],[Audit Candidate 11]]-Audit[[#This Row],[Candidate 11]], "")</f>
        <v/>
      </c>
      <c r="AP47" s="114" t="str">
        <f>IF(NOT(ISBLANK(Audit[[#This Row],[Audit Candidate 12]])), Audit[[#This Row],[Audit Candidate 12]]-Audit[[#This Row],[Candidate 12]], "")</f>
        <v/>
      </c>
      <c r="AQ47" s="114">
        <f>SUMIF(Audit[[#This Row],[Difference Winner]:[Difference Candidate 12]], "&gt;0")</f>
        <v>0</v>
      </c>
      <c r="AR47" s="114">
        <f>SUM(Audit[[#This Row],[Difference Winner]:[Difference Candidate 12]])</f>
        <v>0</v>
      </c>
      <c r="AS47" s="114">
        <f>IF(Audit[[#This Row],[Times p Drawn - With Replacement]]&gt;0, IF(Audit[[#This Row],[Canceled Differences]]&lt;0, Audit[[#This Row],[Max Differences]]+ABS(Audit[[#This Row],[Canceled Differences]]), Audit[[#This Row],[Max Differences]]), 0)</f>
        <v>0</v>
      </c>
      <c r="AT47" s="114">
        <f>'Sampling Data'!AB47</f>
        <v>3.1045382704899525E-3</v>
      </c>
      <c r="AU47" s="114">
        <f>IF(
      SUM(Audit[[#This Row],[Audit Losing Candidate]:[Audit Candidate 12]])
      &lt;&gt;0,
      (Audit[[#This Row],[Winning Candidate]]-Audit[[#This Row],[Losing Candidate]]-(Audit[[#This Row],[Audit Winning Candidate]]-Audit[[#This Row],[Audit Losing Candidate]]))/(Audit[[#Totals],[Winning Candidate]]-Audit[[#Totals],[Losing Candidate]]),
      0
)</f>
        <v>0</v>
      </c>
      <c r="AV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 s="114">
        <f>IF(Audit[[#This Row],[Max Relative Error (ep)]] = 0, 0, Audit[[#This Row],[Max Relative Error (ep)]]/Audit[[#This Row],[Error Bound (up) - Max. possible relative overstatement]])</f>
        <v>0</v>
      </c>
      <c r="BH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7" s="114">
        <f t="shared" si="1"/>
        <v>1</v>
      </c>
      <c r="BJ47" s="114">
        <f>PRODUCT($BI$5:BI47)</f>
        <v>0.59414444935226851</v>
      </c>
      <c r="BK47" s="112">
        <f>1 - Audit[[#This Row],[K-M P Value]]</f>
        <v>0.40585555064773149</v>
      </c>
      <c r="BL47" s="114" t="str">
        <f>IF(Audit[[#This Row],[K-M P Value]]&gt;1-'General Info'!$B$12,"Continue", "Stop")</f>
        <v>Continue</v>
      </c>
      <c r="BM47" s="113" t="b">
        <f>IF(Audit[[#This Row],[Status - Continue or stop audit]] = "Continue", TRUE, IF(BL46 = "Continue", TRUE, FALSE))</f>
        <v>1</v>
      </c>
      <c r="BN47" s="113"/>
    </row>
    <row r="48" spans="1:66" ht="15" hidden="1" customHeight="1" x14ac:dyDescent="0.35">
      <c r="A48" s="114" t="str">
        <f>'Sampling Data'!AI48</f>
        <v/>
      </c>
      <c r="B48" s="114" t="str">
        <f>'Sampling Data'!A48</f>
        <v>0507 CIN 5-G   (AV)</v>
      </c>
      <c r="C48" s="114">
        <f>'Sampling Data'!B48</f>
        <v>17</v>
      </c>
      <c r="D48" s="114">
        <f>'Sampling Data'!C48</f>
        <v>7</v>
      </c>
      <c r="E48" s="115">
        <f>'Sampling Data'!D48</f>
        <v>4</v>
      </c>
      <c r="F48" s="115">
        <f>'Sampling Data'!E48</f>
        <v>0</v>
      </c>
      <c r="G48" s="115">
        <f>'Sampling Data'!F48</f>
        <v>0</v>
      </c>
      <c r="H48" s="115">
        <f>'Sampling Data'!G48</f>
        <v>0</v>
      </c>
      <c r="I48" s="115">
        <f>'Sampling Data'!H48</f>
        <v>0</v>
      </c>
      <c r="J48" s="115">
        <f>'Sampling Data'!I48</f>
        <v>0</v>
      </c>
      <c r="K48" s="115">
        <f>'Sampling Data'!J48</f>
        <v>0</v>
      </c>
      <c r="L48" s="115">
        <f>'Sampling Data'!K48</f>
        <v>0</v>
      </c>
      <c r="M48" s="115">
        <f>'Sampling Data'!L48</f>
        <v>0</v>
      </c>
      <c r="N48" s="115">
        <f>'Sampling Data'!M48</f>
        <v>0</v>
      </c>
      <c r="O48" s="114">
        <f>'Sampling Data'!N48</f>
        <v>0</v>
      </c>
      <c r="P48" s="114">
        <f>'Sampling Data'!O48</f>
        <v>0</v>
      </c>
      <c r="Q48" s="114">
        <f>'Sampling Data'!P48</f>
        <v>28</v>
      </c>
      <c r="R48" s="114">
        <f>'Sampling Data'!AJ48</f>
        <v>0</v>
      </c>
      <c r="S48" s="116"/>
      <c r="T48" s="116"/>
      <c r="U48" s="117"/>
      <c r="V48" s="117"/>
      <c r="W48" s="116"/>
      <c r="X48" s="116"/>
      <c r="Y48" s="116"/>
      <c r="Z48" s="116"/>
      <c r="AA48" s="15"/>
      <c r="AB48" s="15"/>
      <c r="AC48" s="15"/>
      <c r="AD48" s="15"/>
      <c r="AE48" s="118" t="str">
        <f>IF(NOT(ISBLANK(Audit[[#This Row],[Audit Winning Candidate]])), Audit[[#This Row],[Audit Winning Candidate]]-Audit[[#This Row],[Winning Candidate]], "")</f>
        <v/>
      </c>
      <c r="AF48" s="114" t="str">
        <f>IF(NOT(ISBLANK(Audit[[#This Row],[Audit Losing Candidate]])), Audit[[#This Row],[Audit Losing Candidate]]-Audit[[#This Row],[Losing Candidate]], "")</f>
        <v/>
      </c>
      <c r="AG48" s="114" t="str">
        <f>IF(NOT(ISBLANK(Audit[[#This Row],[Audit Candidate 3]])), Audit[[#This Row],[Audit Candidate 3]]-Audit[[#This Row],[Candidate 3]], "")</f>
        <v/>
      </c>
      <c r="AH48" s="114" t="str">
        <f>IF(NOT(ISBLANK(Audit[[#This Row],[Audit Candidate 4]])),Audit[[#This Row],[Audit Candidate 4]]-Audit[[#This Row],[Candidate 4]], "")</f>
        <v/>
      </c>
      <c r="AI48" s="114" t="str">
        <f>IF(NOT(ISBLANK(Audit[[#This Row],[Audit Candidate 5]])), Audit[[#This Row],[Audit Candidate 5]]-Audit[[#This Row],[Candidate 5]], "")</f>
        <v/>
      </c>
      <c r="AJ48" s="114" t="str">
        <f>IF(NOT(ISBLANK(Audit[[#This Row],[Audit Candidate 6]])), Audit[[#This Row],[Audit Candidate 6]]-Audit[[#This Row],[Candidate 6]], "")</f>
        <v/>
      </c>
      <c r="AK48" s="114" t="str">
        <f>IF(NOT(ISBLANK(Audit[[#This Row],[Audit Candidate 7]])), Audit[[#This Row],[Audit Candidate 7]]-Audit[[#This Row],[Candidate 7]], "")</f>
        <v/>
      </c>
      <c r="AL48" s="114" t="str">
        <f>IF(NOT(ISBLANK(Audit[[#This Row],[Audit Candidate 8]])), Audit[[#This Row],[Audit Candidate 8]]-Audit[[#This Row],[Candidate 8]], "")</f>
        <v/>
      </c>
      <c r="AM48" s="114" t="str">
        <f>IF(NOT(ISBLANK(Audit[[#This Row],[Audit Candidate 9]])), Audit[[#This Row],[Audit Candidate 9]]-Audit[[#This Row],[Candidate 9]], "")</f>
        <v/>
      </c>
      <c r="AN48" s="114" t="str">
        <f>IF(NOT(ISBLANK(Audit[[#This Row],[Audit Candidate 10]])), Audit[[#This Row],[Audit Candidate 10]]-Audit[[#This Row],[Candidate 10]], "")</f>
        <v/>
      </c>
      <c r="AO48" s="114" t="str">
        <f>IF(NOT(ISBLANK(Audit[[#This Row],[Audit Candidate 11]])), Audit[[#This Row],[Audit Candidate 11]]-Audit[[#This Row],[Candidate 11]], "")</f>
        <v/>
      </c>
      <c r="AP48" s="114" t="str">
        <f>IF(NOT(ISBLANK(Audit[[#This Row],[Audit Candidate 12]])), Audit[[#This Row],[Audit Candidate 12]]-Audit[[#This Row],[Candidate 12]], "")</f>
        <v/>
      </c>
      <c r="AQ48" s="114">
        <f>SUMIF(Audit[[#This Row],[Difference Winner]:[Difference Candidate 12]], "&gt;0")</f>
        <v>0</v>
      </c>
      <c r="AR48" s="114">
        <f>SUM(Audit[[#This Row],[Difference Winner]:[Difference Candidate 12]])</f>
        <v>0</v>
      </c>
      <c r="AS48" s="114">
        <f>IF(Audit[[#This Row],[Times p Drawn - With Replacement]]&gt;0, IF(Audit[[#This Row],[Canceled Differences]]&lt;0, Audit[[#This Row],[Max Differences]]+ABS(Audit[[#This Row],[Canceled Differences]]), Audit[[#This Row],[Max Differences]]), 0)</f>
        <v>0</v>
      </c>
      <c r="AT48" s="114">
        <f>'Sampling Data'!AB48</f>
        <v>2.4018709310410216E-3</v>
      </c>
      <c r="AU48" s="114">
        <f>IF(
      SUM(Audit[[#This Row],[Audit Losing Candidate]:[Audit Candidate 12]])
      &lt;&gt;0,
      (Audit[[#This Row],[Winning Candidate]]-Audit[[#This Row],[Losing Candidate]]-(Audit[[#This Row],[Audit Winning Candidate]]-Audit[[#This Row],[Audit Losing Candidate]]))/(Audit[[#Totals],[Winning Candidate]]-Audit[[#Totals],[Losing Candidate]]),
      0
)</f>
        <v>0</v>
      </c>
      <c r="AV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 s="114">
        <f>IF(Audit[[#This Row],[Max Relative Error (ep)]] = 0, 0, Audit[[#This Row],[Max Relative Error (ep)]]/Audit[[#This Row],[Error Bound (up) - Max. possible relative overstatement]])</f>
        <v>0</v>
      </c>
      <c r="BH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8" s="114">
        <f t="shared" si="1"/>
        <v>1</v>
      </c>
      <c r="BJ48" s="114">
        <f>PRODUCT($BI$5:BI48)</f>
        <v>0.59414444935226851</v>
      </c>
      <c r="BK48" s="112">
        <f>1 - Audit[[#This Row],[K-M P Value]]</f>
        <v>0.40585555064773149</v>
      </c>
      <c r="BL48" s="114" t="str">
        <f>IF(Audit[[#This Row],[K-M P Value]]&gt;1-'General Info'!$B$12,"Continue", "Stop")</f>
        <v>Continue</v>
      </c>
      <c r="BM48" s="113" t="b">
        <f>IF(Audit[[#This Row],[Status - Continue or stop audit]] = "Continue", TRUE, IF(BL47 = "Continue", TRUE, FALSE))</f>
        <v>1</v>
      </c>
      <c r="BN48" s="113"/>
    </row>
    <row r="49" spans="1:66" ht="15" hidden="1" customHeight="1" x14ac:dyDescent="0.35">
      <c r="A49" s="114" t="str">
        <f>'Sampling Data'!AI49</f>
        <v/>
      </c>
      <c r="B49" s="114" t="str">
        <f>'Sampling Data'!A49</f>
        <v>0508 CIN 5-H   (AV)</v>
      </c>
      <c r="C49" s="114">
        <f>'Sampling Data'!B49</f>
        <v>11</v>
      </c>
      <c r="D49" s="114">
        <f>'Sampling Data'!C49</f>
        <v>0</v>
      </c>
      <c r="E49" s="115">
        <f>'Sampling Data'!D49</f>
        <v>1</v>
      </c>
      <c r="F49" s="115">
        <f>'Sampling Data'!E49</f>
        <v>0</v>
      </c>
      <c r="G49" s="115">
        <f>'Sampling Data'!F49</f>
        <v>0</v>
      </c>
      <c r="H49" s="115">
        <f>'Sampling Data'!G49</f>
        <v>0</v>
      </c>
      <c r="I49" s="115">
        <f>'Sampling Data'!H49</f>
        <v>0</v>
      </c>
      <c r="J49" s="115">
        <f>'Sampling Data'!I49</f>
        <v>0</v>
      </c>
      <c r="K49" s="115">
        <f>'Sampling Data'!J49</f>
        <v>0</v>
      </c>
      <c r="L49" s="115">
        <f>'Sampling Data'!K49</f>
        <v>0</v>
      </c>
      <c r="M49" s="115">
        <f>'Sampling Data'!L49</f>
        <v>0</v>
      </c>
      <c r="N49" s="115">
        <f>'Sampling Data'!M49</f>
        <v>0</v>
      </c>
      <c r="O49" s="114">
        <f>'Sampling Data'!N49</f>
        <v>0</v>
      </c>
      <c r="P49" s="114">
        <f>'Sampling Data'!O49</f>
        <v>0</v>
      </c>
      <c r="Q49" s="114">
        <f>'Sampling Data'!P49</f>
        <v>12</v>
      </c>
      <c r="R49" s="114">
        <f>'Sampling Data'!AJ49</f>
        <v>0</v>
      </c>
      <c r="S49" s="116"/>
      <c r="T49" s="116"/>
      <c r="U49" s="117"/>
      <c r="V49" s="117"/>
      <c r="W49" s="116"/>
      <c r="X49" s="116"/>
      <c r="Y49" s="116"/>
      <c r="Z49" s="116"/>
      <c r="AA49" s="15"/>
      <c r="AB49" s="15"/>
      <c r="AC49" s="15"/>
      <c r="AD49" s="15"/>
      <c r="AE49" s="118" t="str">
        <f>IF(NOT(ISBLANK(Audit[[#This Row],[Audit Winning Candidate]])), Audit[[#This Row],[Audit Winning Candidate]]-Audit[[#This Row],[Winning Candidate]], "")</f>
        <v/>
      </c>
      <c r="AF49" s="114" t="str">
        <f>IF(NOT(ISBLANK(Audit[[#This Row],[Audit Losing Candidate]])), Audit[[#This Row],[Audit Losing Candidate]]-Audit[[#This Row],[Losing Candidate]], "")</f>
        <v/>
      </c>
      <c r="AG49" s="114" t="str">
        <f>IF(NOT(ISBLANK(Audit[[#This Row],[Audit Candidate 3]])), Audit[[#This Row],[Audit Candidate 3]]-Audit[[#This Row],[Candidate 3]], "")</f>
        <v/>
      </c>
      <c r="AH49" s="114" t="str">
        <f>IF(NOT(ISBLANK(Audit[[#This Row],[Audit Candidate 4]])),Audit[[#This Row],[Audit Candidate 4]]-Audit[[#This Row],[Candidate 4]], "")</f>
        <v/>
      </c>
      <c r="AI49" s="114" t="str">
        <f>IF(NOT(ISBLANK(Audit[[#This Row],[Audit Candidate 5]])), Audit[[#This Row],[Audit Candidate 5]]-Audit[[#This Row],[Candidate 5]], "")</f>
        <v/>
      </c>
      <c r="AJ49" s="114" t="str">
        <f>IF(NOT(ISBLANK(Audit[[#This Row],[Audit Candidate 6]])), Audit[[#This Row],[Audit Candidate 6]]-Audit[[#This Row],[Candidate 6]], "")</f>
        <v/>
      </c>
      <c r="AK49" s="114" t="str">
        <f>IF(NOT(ISBLANK(Audit[[#This Row],[Audit Candidate 7]])), Audit[[#This Row],[Audit Candidate 7]]-Audit[[#This Row],[Candidate 7]], "")</f>
        <v/>
      </c>
      <c r="AL49" s="114" t="str">
        <f>IF(NOT(ISBLANK(Audit[[#This Row],[Audit Candidate 8]])), Audit[[#This Row],[Audit Candidate 8]]-Audit[[#This Row],[Candidate 8]], "")</f>
        <v/>
      </c>
      <c r="AM49" s="114" t="str">
        <f>IF(NOT(ISBLANK(Audit[[#This Row],[Audit Candidate 9]])), Audit[[#This Row],[Audit Candidate 9]]-Audit[[#This Row],[Candidate 9]], "")</f>
        <v/>
      </c>
      <c r="AN49" s="114" t="str">
        <f>IF(NOT(ISBLANK(Audit[[#This Row],[Audit Candidate 10]])), Audit[[#This Row],[Audit Candidate 10]]-Audit[[#This Row],[Candidate 10]], "")</f>
        <v/>
      </c>
      <c r="AO49" s="114" t="str">
        <f>IF(NOT(ISBLANK(Audit[[#This Row],[Audit Candidate 11]])), Audit[[#This Row],[Audit Candidate 11]]-Audit[[#This Row],[Candidate 11]], "")</f>
        <v/>
      </c>
      <c r="AP49" s="114" t="str">
        <f>IF(NOT(ISBLANK(Audit[[#This Row],[Audit Candidate 12]])), Audit[[#This Row],[Audit Candidate 12]]-Audit[[#This Row],[Candidate 12]], "")</f>
        <v/>
      </c>
      <c r="AQ49" s="114">
        <f>SUMIF(Audit[[#This Row],[Difference Winner]:[Difference Candidate 12]], "&gt;0")</f>
        <v>0</v>
      </c>
      <c r="AR49" s="114">
        <f>SUM(Audit[[#This Row],[Difference Winner]:[Difference Candidate 12]])</f>
        <v>0</v>
      </c>
      <c r="AS49" s="114">
        <f>IF(Audit[[#This Row],[Times p Drawn - With Replacement]]&gt;0, IF(Audit[[#This Row],[Canceled Differences]]&lt;0, Audit[[#This Row],[Max Differences]]+ABS(Audit[[#This Row],[Canceled Differences]]), Audit[[#This Row],[Max Differences]]), 0)</f>
        <v>0</v>
      </c>
      <c r="AT49" s="114">
        <f>'Sampling Data'!AB49</f>
        <v>1.4537639845774604E-3</v>
      </c>
      <c r="AU49" s="114">
        <f>IF(
      SUM(Audit[[#This Row],[Audit Losing Candidate]:[Audit Candidate 12]])
      &lt;&gt;0,
      (Audit[[#This Row],[Winning Candidate]]-Audit[[#This Row],[Losing Candidate]]-(Audit[[#This Row],[Audit Winning Candidate]]-Audit[[#This Row],[Audit Losing Candidate]]))/(Audit[[#Totals],[Winning Candidate]]-Audit[[#Totals],[Losing Candidate]]),
      0
)</f>
        <v>0</v>
      </c>
      <c r="AV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 s="114">
        <f>IF(Audit[[#This Row],[Max Relative Error (ep)]] = 0, 0, Audit[[#This Row],[Max Relative Error (ep)]]/Audit[[#This Row],[Error Bound (up) - Max. possible relative overstatement]])</f>
        <v>0</v>
      </c>
      <c r="BH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49" s="114">
        <f t="shared" si="1"/>
        <v>1</v>
      </c>
      <c r="BJ49" s="114">
        <f>PRODUCT($BI$5:BI49)</f>
        <v>0.59414444935226851</v>
      </c>
      <c r="BK49" s="112">
        <f>1 - Audit[[#This Row],[K-M P Value]]</f>
        <v>0.40585555064773149</v>
      </c>
      <c r="BL49" s="114" t="str">
        <f>IF(Audit[[#This Row],[K-M P Value]]&gt;1-'General Info'!$B$12,"Continue", "Stop")</f>
        <v>Continue</v>
      </c>
      <c r="BM49" s="113" t="b">
        <f>IF(Audit[[#This Row],[Status - Continue or stop audit]] = "Continue", TRUE, IF(BL48 = "Continue", TRUE, FALSE))</f>
        <v>1</v>
      </c>
      <c r="BN49" s="113"/>
    </row>
    <row r="50" spans="1:66" ht="15" customHeight="1" x14ac:dyDescent="0.35">
      <c r="A50" s="114">
        <f>'Sampling Data'!AI50</f>
        <v>2</v>
      </c>
      <c r="B50" s="114" t="str">
        <f>'Sampling Data'!A50</f>
        <v>0509 CIN 5-I   (AV)</v>
      </c>
      <c r="C50" s="114">
        <f>'Sampling Data'!B50</f>
        <v>17</v>
      </c>
      <c r="D50" s="114">
        <f>'Sampling Data'!C50</f>
        <v>7</v>
      </c>
      <c r="E50" s="115">
        <f>'Sampling Data'!D50</f>
        <v>1</v>
      </c>
      <c r="F50" s="115">
        <f>'Sampling Data'!E50</f>
        <v>0</v>
      </c>
      <c r="G50" s="115">
        <f>'Sampling Data'!F50</f>
        <v>0</v>
      </c>
      <c r="H50" s="115">
        <f>'Sampling Data'!G50</f>
        <v>0</v>
      </c>
      <c r="I50" s="115">
        <f>'Sampling Data'!H50</f>
        <v>0</v>
      </c>
      <c r="J50" s="115">
        <f>'Sampling Data'!I50</f>
        <v>0</v>
      </c>
      <c r="K50" s="115">
        <f>'Sampling Data'!J50</f>
        <v>0</v>
      </c>
      <c r="L50" s="115">
        <f>'Sampling Data'!K50</f>
        <v>0</v>
      </c>
      <c r="M50" s="115">
        <f>'Sampling Data'!L50</f>
        <v>0</v>
      </c>
      <c r="N50" s="115">
        <f>'Sampling Data'!M50</f>
        <v>0</v>
      </c>
      <c r="O50" s="114">
        <f>'Sampling Data'!N50</f>
        <v>0</v>
      </c>
      <c r="P50" s="114">
        <f>'Sampling Data'!O50</f>
        <v>0</v>
      </c>
      <c r="Q50" s="114">
        <f>'Sampling Data'!P50</f>
        <v>25</v>
      </c>
      <c r="R50" s="114">
        <f>'Sampling Data'!AJ50</f>
        <v>1</v>
      </c>
      <c r="S50" s="116">
        <v>17</v>
      </c>
      <c r="T50" s="116">
        <v>7</v>
      </c>
      <c r="U50" s="117">
        <v>1</v>
      </c>
      <c r="V50" s="117"/>
      <c r="W50" s="116"/>
      <c r="X50" s="116"/>
      <c r="Y50" s="116"/>
      <c r="Z50" s="116"/>
      <c r="AA50" s="15"/>
      <c r="AB50" s="15"/>
      <c r="AC50" s="15"/>
      <c r="AD50" s="15"/>
      <c r="AE50" s="118">
        <f>IF(NOT(ISBLANK(Audit[[#This Row],[Audit Winning Candidate]])), Audit[[#This Row],[Audit Winning Candidate]]-Audit[[#This Row],[Winning Candidate]], "")</f>
        <v>0</v>
      </c>
      <c r="AF50" s="114">
        <f>IF(NOT(ISBLANK(Audit[[#This Row],[Audit Losing Candidate]])), Audit[[#This Row],[Audit Losing Candidate]]-Audit[[#This Row],[Losing Candidate]], "")</f>
        <v>0</v>
      </c>
      <c r="AG50" s="114">
        <f>IF(NOT(ISBLANK(Audit[[#This Row],[Audit Candidate 3]])), Audit[[#This Row],[Audit Candidate 3]]-Audit[[#This Row],[Candidate 3]], "")</f>
        <v>0</v>
      </c>
      <c r="AH50" s="114" t="str">
        <f>IF(NOT(ISBLANK(Audit[[#This Row],[Audit Candidate 4]])),Audit[[#This Row],[Audit Candidate 4]]-Audit[[#This Row],[Candidate 4]], "")</f>
        <v/>
      </c>
      <c r="AI50" s="114" t="str">
        <f>IF(NOT(ISBLANK(Audit[[#This Row],[Audit Candidate 5]])), Audit[[#This Row],[Audit Candidate 5]]-Audit[[#This Row],[Candidate 5]], "")</f>
        <v/>
      </c>
      <c r="AJ50" s="114" t="str">
        <f>IF(NOT(ISBLANK(Audit[[#This Row],[Audit Candidate 6]])), Audit[[#This Row],[Audit Candidate 6]]-Audit[[#This Row],[Candidate 6]], "")</f>
        <v/>
      </c>
      <c r="AK50" s="114" t="str">
        <f>IF(NOT(ISBLANK(Audit[[#This Row],[Audit Candidate 7]])), Audit[[#This Row],[Audit Candidate 7]]-Audit[[#This Row],[Candidate 7]], "")</f>
        <v/>
      </c>
      <c r="AL50" s="114" t="str">
        <f>IF(NOT(ISBLANK(Audit[[#This Row],[Audit Candidate 8]])), Audit[[#This Row],[Audit Candidate 8]]-Audit[[#This Row],[Candidate 8]], "")</f>
        <v/>
      </c>
      <c r="AM50" s="114" t="str">
        <f>IF(NOT(ISBLANK(Audit[[#This Row],[Audit Candidate 9]])), Audit[[#This Row],[Audit Candidate 9]]-Audit[[#This Row],[Candidate 9]], "")</f>
        <v/>
      </c>
      <c r="AN50" s="114" t="str">
        <f>IF(NOT(ISBLANK(Audit[[#This Row],[Audit Candidate 10]])), Audit[[#This Row],[Audit Candidate 10]]-Audit[[#This Row],[Candidate 10]], "")</f>
        <v/>
      </c>
      <c r="AO50" s="114" t="str">
        <f>IF(NOT(ISBLANK(Audit[[#This Row],[Audit Candidate 11]])), Audit[[#This Row],[Audit Candidate 11]]-Audit[[#This Row],[Candidate 11]], "")</f>
        <v/>
      </c>
      <c r="AP50" s="114" t="str">
        <f>IF(NOT(ISBLANK(Audit[[#This Row],[Audit Candidate 12]])), Audit[[#This Row],[Audit Candidate 12]]-Audit[[#This Row],[Candidate 12]], "")</f>
        <v/>
      </c>
      <c r="AQ50" s="114">
        <f>SUMIF(Audit[[#This Row],[Difference Winner]:[Difference Candidate 12]], "&gt;0")</f>
        <v>0</v>
      </c>
      <c r="AR50" s="114">
        <f>SUM(Audit[[#This Row],[Difference Winner]:[Difference Candidate 12]])</f>
        <v>0</v>
      </c>
      <c r="AS50" s="114">
        <f>IF(Audit[[#This Row],[Times p Drawn - With Replacement]]&gt;0, IF(Audit[[#This Row],[Canceled Differences]]&lt;0, Audit[[#This Row],[Max Differences]]+ABS(Audit[[#This Row],[Canceled Differences]]), Audit[[#This Row],[Max Differences]]), 0)</f>
        <v>0</v>
      </c>
      <c r="AT50" s="114">
        <f>'Sampling Data'!AB50</f>
        <v>2.3142921652743284E-3</v>
      </c>
      <c r="AU50" s="114">
        <f>IF(
      SUM(Audit[[#This Row],[Audit Losing Candidate]:[Audit Candidate 12]])
      &lt;&gt;0,
      (Audit[[#This Row],[Winning Candidate]]-Audit[[#This Row],[Losing Candidate]]-(Audit[[#This Row],[Audit Winning Candidate]]-Audit[[#This Row],[Audit Losing Candidate]]))/(Audit[[#Totals],[Winning Candidate]]-Audit[[#Totals],[Losing Candidate]]),
      0
)</f>
        <v>0</v>
      </c>
      <c r="AV50" s="114">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 s="114">
        <f>IF(Audit[[#This Row],[Max Relative Error (ep)]] = 0, 0, Audit[[#This Row],[Max Relative Error (ep)]]/Audit[[#This Row],[Error Bound (up) - Max. possible relative overstatement]])</f>
        <v>0</v>
      </c>
      <c r="BH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0" s="114">
        <f t="shared" si="1"/>
        <v>0.59414444935226851</v>
      </c>
      <c r="BJ50" s="114">
        <f>PRODUCT($BI$5:BI50)</f>
        <v>0.35300762669611035</v>
      </c>
      <c r="BK50" s="112">
        <f>1 - Audit[[#This Row],[K-M P Value]]</f>
        <v>0.64699237330388959</v>
      </c>
      <c r="BL50" s="114" t="str">
        <f>IF(Audit[[#This Row],[K-M P Value]]&gt;1-'General Info'!$B$12,"Continue", "Stop")</f>
        <v>Continue</v>
      </c>
      <c r="BM50" s="113" t="b">
        <f>IF(Audit[[#This Row],[Status - Continue or stop audit]] = "Continue", TRUE, IF(BL49 = "Continue", TRUE, FALSE))</f>
        <v>1</v>
      </c>
      <c r="BN50" s="113"/>
    </row>
    <row r="51" spans="1:66" ht="15" hidden="1" customHeight="1" x14ac:dyDescent="0.35">
      <c r="A51" s="114" t="str">
        <f>'Sampling Data'!AI51</f>
        <v/>
      </c>
      <c r="B51" s="114" t="str">
        <f>'Sampling Data'!A51</f>
        <v>0601 CIN 6-A   (AV)</v>
      </c>
      <c r="C51" s="114">
        <f>'Sampling Data'!B51</f>
        <v>21</v>
      </c>
      <c r="D51" s="114">
        <f>'Sampling Data'!C51</f>
        <v>2</v>
      </c>
      <c r="E51" s="115">
        <f>'Sampling Data'!D51</f>
        <v>3</v>
      </c>
      <c r="F51" s="115">
        <f>'Sampling Data'!E51</f>
        <v>0</v>
      </c>
      <c r="G51" s="115">
        <f>'Sampling Data'!F51</f>
        <v>0</v>
      </c>
      <c r="H51" s="115">
        <f>'Sampling Data'!G51</f>
        <v>0</v>
      </c>
      <c r="I51" s="115">
        <f>'Sampling Data'!H51</f>
        <v>0</v>
      </c>
      <c r="J51" s="115">
        <f>'Sampling Data'!I51</f>
        <v>0</v>
      </c>
      <c r="K51" s="115">
        <f>'Sampling Data'!J51</f>
        <v>0</v>
      </c>
      <c r="L51" s="115">
        <f>'Sampling Data'!K51</f>
        <v>0</v>
      </c>
      <c r="M51" s="115">
        <f>'Sampling Data'!L51</f>
        <v>0</v>
      </c>
      <c r="N51" s="115">
        <f>'Sampling Data'!M51</f>
        <v>0</v>
      </c>
      <c r="O51" s="114">
        <f>'Sampling Data'!N51</f>
        <v>0</v>
      </c>
      <c r="P51" s="114">
        <f>'Sampling Data'!O51</f>
        <v>0</v>
      </c>
      <c r="Q51" s="114">
        <f>'Sampling Data'!P51</f>
        <v>26</v>
      </c>
      <c r="R51" s="114">
        <f>'Sampling Data'!AJ51</f>
        <v>0</v>
      </c>
      <c r="S51" s="116"/>
      <c r="T51" s="116"/>
      <c r="U51" s="117"/>
      <c r="V51" s="117"/>
      <c r="W51" s="116"/>
      <c r="X51" s="116"/>
      <c r="Y51" s="116"/>
      <c r="Z51" s="116"/>
      <c r="AA51" s="15"/>
      <c r="AB51" s="15"/>
      <c r="AC51" s="15"/>
      <c r="AD51" s="15"/>
      <c r="AE51" s="118" t="str">
        <f>IF(NOT(ISBLANK(Audit[[#This Row],[Audit Winning Candidate]])), Audit[[#This Row],[Audit Winning Candidate]]-Audit[[#This Row],[Winning Candidate]], "")</f>
        <v/>
      </c>
      <c r="AF51" s="114" t="str">
        <f>IF(NOT(ISBLANK(Audit[[#This Row],[Audit Losing Candidate]])), Audit[[#This Row],[Audit Losing Candidate]]-Audit[[#This Row],[Losing Candidate]], "")</f>
        <v/>
      </c>
      <c r="AG51" s="114" t="str">
        <f>IF(NOT(ISBLANK(Audit[[#This Row],[Audit Candidate 3]])), Audit[[#This Row],[Audit Candidate 3]]-Audit[[#This Row],[Candidate 3]], "")</f>
        <v/>
      </c>
      <c r="AH51" s="114" t="str">
        <f>IF(NOT(ISBLANK(Audit[[#This Row],[Audit Candidate 4]])),Audit[[#This Row],[Audit Candidate 4]]-Audit[[#This Row],[Candidate 4]], "")</f>
        <v/>
      </c>
      <c r="AI51" s="114" t="str">
        <f>IF(NOT(ISBLANK(Audit[[#This Row],[Audit Candidate 5]])), Audit[[#This Row],[Audit Candidate 5]]-Audit[[#This Row],[Candidate 5]], "")</f>
        <v/>
      </c>
      <c r="AJ51" s="114" t="str">
        <f>IF(NOT(ISBLANK(Audit[[#This Row],[Audit Candidate 6]])), Audit[[#This Row],[Audit Candidate 6]]-Audit[[#This Row],[Candidate 6]], "")</f>
        <v/>
      </c>
      <c r="AK51" s="114" t="str">
        <f>IF(NOT(ISBLANK(Audit[[#This Row],[Audit Candidate 7]])), Audit[[#This Row],[Audit Candidate 7]]-Audit[[#This Row],[Candidate 7]], "")</f>
        <v/>
      </c>
      <c r="AL51" s="114" t="str">
        <f>IF(NOT(ISBLANK(Audit[[#This Row],[Audit Candidate 8]])), Audit[[#This Row],[Audit Candidate 8]]-Audit[[#This Row],[Candidate 8]], "")</f>
        <v/>
      </c>
      <c r="AM51" s="114" t="str">
        <f>IF(NOT(ISBLANK(Audit[[#This Row],[Audit Candidate 9]])), Audit[[#This Row],[Audit Candidate 9]]-Audit[[#This Row],[Candidate 9]], "")</f>
        <v/>
      </c>
      <c r="AN51" s="114" t="str">
        <f>IF(NOT(ISBLANK(Audit[[#This Row],[Audit Candidate 10]])), Audit[[#This Row],[Audit Candidate 10]]-Audit[[#This Row],[Candidate 10]], "")</f>
        <v/>
      </c>
      <c r="AO51" s="114" t="str">
        <f>IF(NOT(ISBLANK(Audit[[#This Row],[Audit Candidate 11]])), Audit[[#This Row],[Audit Candidate 11]]-Audit[[#This Row],[Candidate 11]], "")</f>
        <v/>
      </c>
      <c r="AP51" s="114" t="str">
        <f>IF(NOT(ISBLANK(Audit[[#This Row],[Audit Candidate 12]])), Audit[[#This Row],[Audit Candidate 12]]-Audit[[#This Row],[Candidate 12]], "")</f>
        <v/>
      </c>
      <c r="AQ51" s="114">
        <f>SUMIF(Audit[[#This Row],[Difference Winner]:[Difference Candidate 12]], "&gt;0")</f>
        <v>0</v>
      </c>
      <c r="AR51" s="114">
        <f>SUM(Audit[[#This Row],[Difference Winner]:[Difference Candidate 12]])</f>
        <v>0</v>
      </c>
      <c r="AS51" s="114">
        <f>IF(Audit[[#This Row],[Times p Drawn - With Replacement]]&gt;0, IF(Audit[[#This Row],[Canceled Differences]]&lt;0, Audit[[#This Row],[Max Differences]]+ABS(Audit[[#This Row],[Canceled Differences]]), Audit[[#This Row],[Max Differences]]), 0)</f>
        <v>0</v>
      </c>
      <c r="AT51" s="114">
        <f>'Sampling Data'!AB51</f>
        <v>2.8443208393906833E-3</v>
      </c>
      <c r="AU51" s="114">
        <f>IF(
      SUM(Audit[[#This Row],[Audit Losing Candidate]:[Audit Candidate 12]])
      &lt;&gt;0,
      (Audit[[#This Row],[Winning Candidate]]-Audit[[#This Row],[Losing Candidate]]-(Audit[[#This Row],[Audit Winning Candidate]]-Audit[[#This Row],[Audit Losing Candidate]]))/(Audit[[#Totals],[Winning Candidate]]-Audit[[#Totals],[Losing Candidate]]),
      0
)</f>
        <v>0</v>
      </c>
      <c r="AV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 s="114">
        <f>IF(Audit[[#This Row],[Max Relative Error (ep)]] = 0, 0, Audit[[#This Row],[Max Relative Error (ep)]]/Audit[[#This Row],[Error Bound (up) - Max. possible relative overstatement]])</f>
        <v>0</v>
      </c>
      <c r="BH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1" s="114">
        <f t="shared" si="1"/>
        <v>1</v>
      </c>
      <c r="BJ51" s="114">
        <f>PRODUCT($BI$5:BI51)</f>
        <v>0.35300762669611035</v>
      </c>
      <c r="BK51" s="112">
        <f>1 - Audit[[#This Row],[K-M P Value]]</f>
        <v>0.64699237330388959</v>
      </c>
      <c r="BL51" s="114" t="str">
        <f>IF(Audit[[#This Row],[K-M P Value]]&gt;1-'General Info'!$B$12,"Continue", "Stop")</f>
        <v>Continue</v>
      </c>
      <c r="BM51" s="113" t="b">
        <f>IF(Audit[[#This Row],[Status - Continue or stop audit]] = "Continue", TRUE, IF(BL50 = "Continue", TRUE, FALSE))</f>
        <v>1</v>
      </c>
      <c r="BN51" s="113"/>
    </row>
    <row r="52" spans="1:66" ht="15" hidden="1" customHeight="1" x14ac:dyDescent="0.35">
      <c r="A52" s="114" t="str">
        <f>'Sampling Data'!AI52</f>
        <v/>
      </c>
      <c r="B52" s="114" t="str">
        <f>'Sampling Data'!A52</f>
        <v>0602 CIN 6-B   (AV)</v>
      </c>
      <c r="C52" s="114">
        <f>'Sampling Data'!B52</f>
        <v>10</v>
      </c>
      <c r="D52" s="114">
        <f>'Sampling Data'!C52</f>
        <v>0</v>
      </c>
      <c r="E52" s="115">
        <f>'Sampling Data'!D52</f>
        <v>2</v>
      </c>
      <c r="F52" s="115">
        <f>'Sampling Data'!E52</f>
        <v>0</v>
      </c>
      <c r="G52" s="115">
        <f>'Sampling Data'!F52</f>
        <v>0</v>
      </c>
      <c r="H52" s="115">
        <f>'Sampling Data'!G52</f>
        <v>0</v>
      </c>
      <c r="I52" s="115">
        <f>'Sampling Data'!H52</f>
        <v>0</v>
      </c>
      <c r="J52" s="115">
        <f>'Sampling Data'!I52</f>
        <v>0</v>
      </c>
      <c r="K52" s="115">
        <f>'Sampling Data'!J52</f>
        <v>0</v>
      </c>
      <c r="L52" s="115">
        <f>'Sampling Data'!K52</f>
        <v>0</v>
      </c>
      <c r="M52" s="115">
        <f>'Sampling Data'!L52</f>
        <v>0</v>
      </c>
      <c r="N52" s="115">
        <f>'Sampling Data'!M52</f>
        <v>0</v>
      </c>
      <c r="O52" s="114">
        <f>'Sampling Data'!N52</f>
        <v>0</v>
      </c>
      <c r="P52" s="114">
        <f>'Sampling Data'!O52</f>
        <v>0</v>
      </c>
      <c r="Q52" s="114">
        <f>'Sampling Data'!P52</f>
        <v>12</v>
      </c>
      <c r="R52" s="114">
        <f>'Sampling Data'!AJ52</f>
        <v>0</v>
      </c>
      <c r="S52" s="116"/>
      <c r="T52" s="116"/>
      <c r="U52" s="117"/>
      <c r="V52" s="117"/>
      <c r="W52" s="116"/>
      <c r="X52" s="116"/>
      <c r="Y52" s="116"/>
      <c r="Z52" s="116"/>
      <c r="AA52" s="15"/>
      <c r="AB52" s="15"/>
      <c r="AC52" s="15"/>
      <c r="AD52" s="15"/>
      <c r="AE52" s="118" t="str">
        <f>IF(NOT(ISBLANK(Audit[[#This Row],[Audit Winning Candidate]])), Audit[[#This Row],[Audit Winning Candidate]]-Audit[[#This Row],[Winning Candidate]], "")</f>
        <v/>
      </c>
      <c r="AF52" s="114" t="str">
        <f>IF(NOT(ISBLANK(Audit[[#This Row],[Audit Losing Candidate]])), Audit[[#This Row],[Audit Losing Candidate]]-Audit[[#This Row],[Losing Candidate]], "")</f>
        <v/>
      </c>
      <c r="AG52" s="114" t="str">
        <f>IF(NOT(ISBLANK(Audit[[#This Row],[Audit Candidate 3]])), Audit[[#This Row],[Audit Candidate 3]]-Audit[[#This Row],[Candidate 3]], "")</f>
        <v/>
      </c>
      <c r="AH52" s="114" t="str">
        <f>IF(NOT(ISBLANK(Audit[[#This Row],[Audit Candidate 4]])),Audit[[#This Row],[Audit Candidate 4]]-Audit[[#This Row],[Candidate 4]], "")</f>
        <v/>
      </c>
      <c r="AI52" s="114" t="str">
        <f>IF(NOT(ISBLANK(Audit[[#This Row],[Audit Candidate 5]])), Audit[[#This Row],[Audit Candidate 5]]-Audit[[#This Row],[Candidate 5]], "")</f>
        <v/>
      </c>
      <c r="AJ52" s="114" t="str">
        <f>IF(NOT(ISBLANK(Audit[[#This Row],[Audit Candidate 6]])), Audit[[#This Row],[Audit Candidate 6]]-Audit[[#This Row],[Candidate 6]], "")</f>
        <v/>
      </c>
      <c r="AK52" s="114" t="str">
        <f>IF(NOT(ISBLANK(Audit[[#This Row],[Audit Candidate 7]])), Audit[[#This Row],[Audit Candidate 7]]-Audit[[#This Row],[Candidate 7]], "")</f>
        <v/>
      </c>
      <c r="AL52" s="114" t="str">
        <f>IF(NOT(ISBLANK(Audit[[#This Row],[Audit Candidate 8]])), Audit[[#This Row],[Audit Candidate 8]]-Audit[[#This Row],[Candidate 8]], "")</f>
        <v/>
      </c>
      <c r="AM52" s="114" t="str">
        <f>IF(NOT(ISBLANK(Audit[[#This Row],[Audit Candidate 9]])), Audit[[#This Row],[Audit Candidate 9]]-Audit[[#This Row],[Candidate 9]], "")</f>
        <v/>
      </c>
      <c r="AN52" s="114" t="str">
        <f>IF(NOT(ISBLANK(Audit[[#This Row],[Audit Candidate 10]])), Audit[[#This Row],[Audit Candidate 10]]-Audit[[#This Row],[Candidate 10]], "")</f>
        <v/>
      </c>
      <c r="AO52" s="114" t="str">
        <f>IF(NOT(ISBLANK(Audit[[#This Row],[Audit Candidate 11]])), Audit[[#This Row],[Audit Candidate 11]]-Audit[[#This Row],[Candidate 11]], "")</f>
        <v/>
      </c>
      <c r="AP52" s="114" t="str">
        <f>IF(NOT(ISBLANK(Audit[[#This Row],[Audit Candidate 12]])), Audit[[#This Row],[Audit Candidate 12]]-Audit[[#This Row],[Candidate 12]], "")</f>
        <v/>
      </c>
      <c r="AQ52" s="114">
        <f>SUMIF(Audit[[#This Row],[Difference Winner]:[Difference Candidate 12]], "&gt;0")</f>
        <v>0</v>
      </c>
      <c r="AR52" s="114">
        <f>SUM(Audit[[#This Row],[Difference Winner]:[Difference Candidate 12]])</f>
        <v>0</v>
      </c>
      <c r="AS52" s="114">
        <f>IF(Audit[[#This Row],[Times p Drawn - With Replacement]]&gt;0, IF(Audit[[#This Row],[Canceled Differences]]&lt;0, Audit[[#This Row],[Max Differences]]+ABS(Audit[[#This Row],[Canceled Differences]]), Audit[[#This Row],[Max Differences]]), 0)</f>
        <v>0</v>
      </c>
      <c r="AT52" s="114">
        <f>'Sampling Data'!AB52</f>
        <v>1.3905568548132229E-3</v>
      </c>
      <c r="AU52" s="114">
        <f>IF(
      SUM(Audit[[#This Row],[Audit Losing Candidate]:[Audit Candidate 12]])
      &lt;&gt;0,
      (Audit[[#This Row],[Winning Candidate]]-Audit[[#This Row],[Losing Candidate]]-(Audit[[#This Row],[Audit Winning Candidate]]-Audit[[#This Row],[Audit Losing Candidate]]))/(Audit[[#Totals],[Winning Candidate]]-Audit[[#Totals],[Losing Candidate]]),
      0
)</f>
        <v>0</v>
      </c>
      <c r="AV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 s="114">
        <f>IF(Audit[[#This Row],[Max Relative Error (ep)]] = 0, 0, Audit[[#This Row],[Max Relative Error (ep)]]/Audit[[#This Row],[Error Bound (up) - Max. possible relative overstatement]])</f>
        <v>0</v>
      </c>
      <c r="BH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2" s="114">
        <f t="shared" si="1"/>
        <v>1</v>
      </c>
      <c r="BJ52" s="114">
        <f>PRODUCT($BI$5:BI52)</f>
        <v>0.35300762669611035</v>
      </c>
      <c r="BK52" s="112">
        <f>1 - Audit[[#This Row],[K-M P Value]]</f>
        <v>0.64699237330388959</v>
      </c>
      <c r="BL52" s="114" t="str">
        <f>IF(Audit[[#This Row],[K-M P Value]]&gt;1-'General Info'!$B$12,"Continue", "Stop")</f>
        <v>Continue</v>
      </c>
      <c r="BM52" s="113" t="b">
        <f>IF(Audit[[#This Row],[Status - Continue or stop audit]] = "Continue", TRUE, IF(BL51 = "Continue", TRUE, FALSE))</f>
        <v>1</v>
      </c>
      <c r="BN52" s="113"/>
    </row>
    <row r="53" spans="1:66" ht="15" hidden="1" customHeight="1" x14ac:dyDescent="0.35">
      <c r="A53" s="114" t="str">
        <f>'Sampling Data'!AI53</f>
        <v/>
      </c>
      <c r="B53" s="114" t="str">
        <f>'Sampling Data'!A53</f>
        <v>0603 CIN 6-C   (AV)</v>
      </c>
      <c r="C53" s="114">
        <f>'Sampling Data'!B53</f>
        <v>8</v>
      </c>
      <c r="D53" s="114">
        <f>'Sampling Data'!C53</f>
        <v>2</v>
      </c>
      <c r="E53" s="115">
        <f>'Sampling Data'!D53</f>
        <v>0</v>
      </c>
      <c r="F53" s="115">
        <f>'Sampling Data'!E53</f>
        <v>0</v>
      </c>
      <c r="G53" s="115">
        <f>'Sampling Data'!F53</f>
        <v>0</v>
      </c>
      <c r="H53" s="115">
        <f>'Sampling Data'!G53</f>
        <v>0</v>
      </c>
      <c r="I53" s="115">
        <f>'Sampling Data'!H53</f>
        <v>0</v>
      </c>
      <c r="J53" s="115">
        <f>'Sampling Data'!I53</f>
        <v>0</v>
      </c>
      <c r="K53" s="115">
        <f>'Sampling Data'!J53</f>
        <v>0</v>
      </c>
      <c r="L53" s="115">
        <f>'Sampling Data'!K53</f>
        <v>0</v>
      </c>
      <c r="M53" s="115">
        <f>'Sampling Data'!L53</f>
        <v>0</v>
      </c>
      <c r="N53" s="115">
        <f>'Sampling Data'!M53</f>
        <v>0</v>
      </c>
      <c r="O53" s="114">
        <f>'Sampling Data'!N53</f>
        <v>0</v>
      </c>
      <c r="P53" s="114">
        <f>'Sampling Data'!O53</f>
        <v>0</v>
      </c>
      <c r="Q53" s="114">
        <f>'Sampling Data'!P53</f>
        <v>10</v>
      </c>
      <c r="R53" s="114">
        <f>'Sampling Data'!AJ53</f>
        <v>0</v>
      </c>
      <c r="S53" s="116"/>
      <c r="T53" s="116"/>
      <c r="U53" s="117"/>
      <c r="V53" s="117"/>
      <c r="W53" s="116"/>
      <c r="X53" s="116"/>
      <c r="Y53" s="116"/>
      <c r="Z53" s="116"/>
      <c r="AA53" s="15"/>
      <c r="AB53" s="15"/>
      <c r="AC53" s="15"/>
      <c r="AD53" s="15"/>
      <c r="AE53" s="118" t="str">
        <f>IF(NOT(ISBLANK(Audit[[#This Row],[Audit Winning Candidate]])), Audit[[#This Row],[Audit Winning Candidate]]-Audit[[#This Row],[Winning Candidate]], "")</f>
        <v/>
      </c>
      <c r="AF53" s="114" t="str">
        <f>IF(NOT(ISBLANK(Audit[[#This Row],[Audit Losing Candidate]])), Audit[[#This Row],[Audit Losing Candidate]]-Audit[[#This Row],[Losing Candidate]], "")</f>
        <v/>
      </c>
      <c r="AG53" s="114" t="str">
        <f>IF(NOT(ISBLANK(Audit[[#This Row],[Audit Candidate 3]])), Audit[[#This Row],[Audit Candidate 3]]-Audit[[#This Row],[Candidate 3]], "")</f>
        <v/>
      </c>
      <c r="AH53" s="114" t="str">
        <f>IF(NOT(ISBLANK(Audit[[#This Row],[Audit Candidate 4]])),Audit[[#This Row],[Audit Candidate 4]]-Audit[[#This Row],[Candidate 4]], "")</f>
        <v/>
      </c>
      <c r="AI53" s="114" t="str">
        <f>IF(NOT(ISBLANK(Audit[[#This Row],[Audit Candidate 5]])), Audit[[#This Row],[Audit Candidate 5]]-Audit[[#This Row],[Candidate 5]], "")</f>
        <v/>
      </c>
      <c r="AJ53" s="114" t="str">
        <f>IF(NOT(ISBLANK(Audit[[#This Row],[Audit Candidate 6]])), Audit[[#This Row],[Audit Candidate 6]]-Audit[[#This Row],[Candidate 6]], "")</f>
        <v/>
      </c>
      <c r="AK53" s="114" t="str">
        <f>IF(NOT(ISBLANK(Audit[[#This Row],[Audit Candidate 7]])), Audit[[#This Row],[Audit Candidate 7]]-Audit[[#This Row],[Candidate 7]], "")</f>
        <v/>
      </c>
      <c r="AL53" s="114" t="str">
        <f>IF(NOT(ISBLANK(Audit[[#This Row],[Audit Candidate 8]])), Audit[[#This Row],[Audit Candidate 8]]-Audit[[#This Row],[Candidate 8]], "")</f>
        <v/>
      </c>
      <c r="AM53" s="114" t="str">
        <f>IF(NOT(ISBLANK(Audit[[#This Row],[Audit Candidate 9]])), Audit[[#This Row],[Audit Candidate 9]]-Audit[[#This Row],[Candidate 9]], "")</f>
        <v/>
      </c>
      <c r="AN53" s="114" t="str">
        <f>IF(NOT(ISBLANK(Audit[[#This Row],[Audit Candidate 10]])), Audit[[#This Row],[Audit Candidate 10]]-Audit[[#This Row],[Candidate 10]], "")</f>
        <v/>
      </c>
      <c r="AO53" s="114" t="str">
        <f>IF(NOT(ISBLANK(Audit[[#This Row],[Audit Candidate 11]])), Audit[[#This Row],[Audit Candidate 11]]-Audit[[#This Row],[Candidate 11]], "")</f>
        <v/>
      </c>
      <c r="AP53" s="114" t="str">
        <f>IF(NOT(ISBLANK(Audit[[#This Row],[Audit Candidate 12]])), Audit[[#This Row],[Audit Candidate 12]]-Audit[[#This Row],[Candidate 12]], "")</f>
        <v/>
      </c>
      <c r="AQ53" s="114">
        <f>SUMIF(Audit[[#This Row],[Difference Winner]:[Difference Candidate 12]], "&gt;0")</f>
        <v>0</v>
      </c>
      <c r="AR53" s="114">
        <f>SUM(Audit[[#This Row],[Difference Winner]:[Difference Candidate 12]])</f>
        <v>0</v>
      </c>
      <c r="AS53" s="114">
        <f>IF(Audit[[#This Row],[Times p Drawn - With Replacement]]&gt;0, IF(Audit[[#This Row],[Canceled Differences]]&lt;0, Audit[[#This Row],[Max Differences]]+ABS(Audit[[#This Row],[Canceled Differences]]), Audit[[#This Row],[Max Differences]]), 0)</f>
        <v>0</v>
      </c>
      <c r="AT53" s="114">
        <f>'Sampling Data'!AB53</f>
        <v>1.0160307067058026E-3</v>
      </c>
      <c r="AU53" s="114">
        <f>IF(
      SUM(Audit[[#This Row],[Audit Losing Candidate]:[Audit Candidate 12]])
      &lt;&gt;0,
      (Audit[[#This Row],[Winning Candidate]]-Audit[[#This Row],[Losing Candidate]]-(Audit[[#This Row],[Audit Winning Candidate]]-Audit[[#This Row],[Audit Losing Candidate]]))/(Audit[[#Totals],[Winning Candidate]]-Audit[[#Totals],[Losing Candidate]]),
      0
)</f>
        <v>0</v>
      </c>
      <c r="AV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 s="114">
        <f>IF(Audit[[#This Row],[Max Relative Error (ep)]] = 0, 0, Audit[[#This Row],[Max Relative Error (ep)]]/Audit[[#This Row],[Error Bound (up) - Max. possible relative overstatement]])</f>
        <v>0</v>
      </c>
      <c r="BH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3" s="114">
        <f t="shared" si="1"/>
        <v>1</v>
      </c>
      <c r="BJ53" s="114">
        <f>PRODUCT($BI$5:BI53)</f>
        <v>0.35300762669611035</v>
      </c>
      <c r="BK53" s="112">
        <f>1 - Audit[[#This Row],[K-M P Value]]</f>
        <v>0.64699237330388959</v>
      </c>
      <c r="BL53" s="114" t="str">
        <f>IF(Audit[[#This Row],[K-M P Value]]&gt;1-'General Info'!$B$12,"Continue", "Stop")</f>
        <v>Continue</v>
      </c>
      <c r="BM53" s="113" t="b">
        <f>IF(Audit[[#This Row],[Status - Continue or stop audit]] = "Continue", TRUE, IF(BL52 = "Continue", TRUE, FALSE))</f>
        <v>1</v>
      </c>
      <c r="BN53" s="113"/>
    </row>
    <row r="54" spans="1:66" ht="15" hidden="1" customHeight="1" x14ac:dyDescent="0.35">
      <c r="A54" s="114" t="str">
        <f>'Sampling Data'!AI54</f>
        <v/>
      </c>
      <c r="B54" s="114" t="str">
        <f>'Sampling Data'!A54</f>
        <v>0604 CIN 6-D   (AV)</v>
      </c>
      <c r="C54" s="114">
        <f>'Sampling Data'!B54</f>
        <v>20</v>
      </c>
      <c r="D54" s="114">
        <f>'Sampling Data'!C54</f>
        <v>0</v>
      </c>
      <c r="E54" s="115">
        <f>'Sampling Data'!D54</f>
        <v>0</v>
      </c>
      <c r="F54" s="115">
        <f>'Sampling Data'!E54</f>
        <v>0</v>
      </c>
      <c r="G54" s="115">
        <f>'Sampling Data'!F54</f>
        <v>0</v>
      </c>
      <c r="H54" s="115">
        <f>'Sampling Data'!G54</f>
        <v>0</v>
      </c>
      <c r="I54" s="115">
        <f>'Sampling Data'!H54</f>
        <v>0</v>
      </c>
      <c r="J54" s="115">
        <f>'Sampling Data'!I54</f>
        <v>0</v>
      </c>
      <c r="K54" s="115">
        <f>'Sampling Data'!J54</f>
        <v>0</v>
      </c>
      <c r="L54" s="115">
        <f>'Sampling Data'!K54</f>
        <v>0</v>
      </c>
      <c r="M54" s="115">
        <f>'Sampling Data'!L54</f>
        <v>0</v>
      </c>
      <c r="N54" s="115">
        <f>'Sampling Data'!M54</f>
        <v>0</v>
      </c>
      <c r="O54" s="114">
        <f>'Sampling Data'!N54</f>
        <v>0</v>
      </c>
      <c r="P54" s="114">
        <f>'Sampling Data'!O54</f>
        <v>0</v>
      </c>
      <c r="Q54" s="114">
        <f>'Sampling Data'!P54</f>
        <v>20</v>
      </c>
      <c r="R54" s="114">
        <f>'Sampling Data'!AJ54</f>
        <v>0</v>
      </c>
      <c r="S54" s="116"/>
      <c r="T54" s="116"/>
      <c r="U54" s="117"/>
      <c r="V54" s="117"/>
      <c r="W54" s="116"/>
      <c r="X54" s="116"/>
      <c r="Y54" s="116"/>
      <c r="Z54" s="116"/>
      <c r="AA54" s="15"/>
      <c r="AB54" s="15"/>
      <c r="AC54" s="15"/>
      <c r="AD54" s="15"/>
      <c r="AE54" s="118" t="str">
        <f>IF(NOT(ISBLANK(Audit[[#This Row],[Audit Winning Candidate]])), Audit[[#This Row],[Audit Winning Candidate]]-Audit[[#This Row],[Winning Candidate]], "")</f>
        <v/>
      </c>
      <c r="AF54" s="114" t="str">
        <f>IF(NOT(ISBLANK(Audit[[#This Row],[Audit Losing Candidate]])), Audit[[#This Row],[Audit Losing Candidate]]-Audit[[#This Row],[Losing Candidate]], "")</f>
        <v/>
      </c>
      <c r="AG54" s="114" t="str">
        <f>IF(NOT(ISBLANK(Audit[[#This Row],[Audit Candidate 3]])), Audit[[#This Row],[Audit Candidate 3]]-Audit[[#This Row],[Candidate 3]], "")</f>
        <v/>
      </c>
      <c r="AH54" s="114" t="str">
        <f>IF(NOT(ISBLANK(Audit[[#This Row],[Audit Candidate 4]])),Audit[[#This Row],[Audit Candidate 4]]-Audit[[#This Row],[Candidate 4]], "")</f>
        <v/>
      </c>
      <c r="AI54" s="114" t="str">
        <f>IF(NOT(ISBLANK(Audit[[#This Row],[Audit Candidate 5]])), Audit[[#This Row],[Audit Candidate 5]]-Audit[[#This Row],[Candidate 5]], "")</f>
        <v/>
      </c>
      <c r="AJ54" s="114" t="str">
        <f>IF(NOT(ISBLANK(Audit[[#This Row],[Audit Candidate 6]])), Audit[[#This Row],[Audit Candidate 6]]-Audit[[#This Row],[Candidate 6]], "")</f>
        <v/>
      </c>
      <c r="AK54" s="114" t="str">
        <f>IF(NOT(ISBLANK(Audit[[#This Row],[Audit Candidate 7]])), Audit[[#This Row],[Audit Candidate 7]]-Audit[[#This Row],[Candidate 7]], "")</f>
        <v/>
      </c>
      <c r="AL54" s="114" t="str">
        <f>IF(NOT(ISBLANK(Audit[[#This Row],[Audit Candidate 8]])), Audit[[#This Row],[Audit Candidate 8]]-Audit[[#This Row],[Candidate 8]], "")</f>
        <v/>
      </c>
      <c r="AM54" s="114" t="str">
        <f>IF(NOT(ISBLANK(Audit[[#This Row],[Audit Candidate 9]])), Audit[[#This Row],[Audit Candidate 9]]-Audit[[#This Row],[Candidate 9]], "")</f>
        <v/>
      </c>
      <c r="AN54" s="114" t="str">
        <f>IF(NOT(ISBLANK(Audit[[#This Row],[Audit Candidate 10]])), Audit[[#This Row],[Audit Candidate 10]]-Audit[[#This Row],[Candidate 10]], "")</f>
        <v/>
      </c>
      <c r="AO54" s="114" t="str">
        <f>IF(NOT(ISBLANK(Audit[[#This Row],[Audit Candidate 11]])), Audit[[#This Row],[Audit Candidate 11]]-Audit[[#This Row],[Candidate 11]], "")</f>
        <v/>
      </c>
      <c r="AP54" s="114" t="str">
        <f>IF(NOT(ISBLANK(Audit[[#This Row],[Audit Candidate 12]])), Audit[[#This Row],[Audit Candidate 12]]-Audit[[#This Row],[Candidate 12]], "")</f>
        <v/>
      </c>
      <c r="AQ54" s="114">
        <f>SUMIF(Audit[[#This Row],[Difference Winner]:[Difference Candidate 12]], "&gt;0")</f>
        <v>0</v>
      </c>
      <c r="AR54" s="114">
        <f>SUM(Audit[[#This Row],[Difference Winner]:[Difference Candidate 12]])</f>
        <v>0</v>
      </c>
      <c r="AS54" s="114">
        <f>IF(Audit[[#This Row],[Times p Drawn - With Replacement]]&gt;0, IF(Audit[[#This Row],[Canceled Differences]]&lt;0, Audit[[#This Row],[Max Differences]]+ABS(Audit[[#This Row],[Canceled Differences]]), Audit[[#This Row],[Max Differences]]), 0)</f>
        <v>0</v>
      </c>
      <c r="AT54" s="114">
        <f>'Sampling Data'!AB54</f>
        <v>2.5282851905694963E-3</v>
      </c>
      <c r="AU54" s="114">
        <f>IF(
      SUM(Audit[[#This Row],[Audit Losing Candidate]:[Audit Candidate 12]])
      &lt;&gt;0,
      (Audit[[#This Row],[Winning Candidate]]-Audit[[#This Row],[Losing Candidate]]-(Audit[[#This Row],[Audit Winning Candidate]]-Audit[[#This Row],[Audit Losing Candidate]]))/(Audit[[#Totals],[Winning Candidate]]-Audit[[#Totals],[Losing Candidate]]),
      0
)</f>
        <v>0</v>
      </c>
      <c r="AV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 s="114">
        <f>IF(Audit[[#This Row],[Max Relative Error (ep)]] = 0, 0, Audit[[#This Row],[Max Relative Error (ep)]]/Audit[[#This Row],[Error Bound (up) - Max. possible relative overstatement]])</f>
        <v>0</v>
      </c>
      <c r="BH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4" s="114">
        <f t="shared" si="1"/>
        <v>1</v>
      </c>
      <c r="BJ54" s="114">
        <f>PRODUCT($BI$5:BI54)</f>
        <v>0.35300762669611035</v>
      </c>
      <c r="BK54" s="112">
        <f>1 - Audit[[#This Row],[K-M P Value]]</f>
        <v>0.64699237330388959</v>
      </c>
      <c r="BL54" s="114" t="str">
        <f>IF(Audit[[#This Row],[K-M P Value]]&gt;1-'General Info'!$B$12,"Continue", "Stop")</f>
        <v>Continue</v>
      </c>
      <c r="BM54" s="113" t="b">
        <f>IF(Audit[[#This Row],[Status - Continue or stop audit]] = "Continue", TRUE, IF(BL53 = "Continue", TRUE, FALSE))</f>
        <v>1</v>
      </c>
      <c r="BN54" s="113"/>
    </row>
    <row r="55" spans="1:66" ht="15" hidden="1" customHeight="1" x14ac:dyDescent="0.35">
      <c r="A55" s="114" t="str">
        <f>'Sampling Data'!AI55</f>
        <v/>
      </c>
      <c r="B55" s="114" t="str">
        <f>'Sampling Data'!A55</f>
        <v>0605 CIN 6-E   (AV)</v>
      </c>
      <c r="C55" s="114">
        <f>'Sampling Data'!B55</f>
        <v>15</v>
      </c>
      <c r="D55" s="114">
        <f>'Sampling Data'!C55</f>
        <v>3</v>
      </c>
      <c r="E55" s="115">
        <f>'Sampling Data'!D55</f>
        <v>1</v>
      </c>
      <c r="F55" s="115">
        <f>'Sampling Data'!E55</f>
        <v>0</v>
      </c>
      <c r="G55" s="115">
        <f>'Sampling Data'!F55</f>
        <v>0</v>
      </c>
      <c r="H55" s="115">
        <f>'Sampling Data'!G55</f>
        <v>0</v>
      </c>
      <c r="I55" s="115">
        <f>'Sampling Data'!H55</f>
        <v>0</v>
      </c>
      <c r="J55" s="115">
        <f>'Sampling Data'!I55</f>
        <v>0</v>
      </c>
      <c r="K55" s="115">
        <f>'Sampling Data'!J55</f>
        <v>0</v>
      </c>
      <c r="L55" s="115">
        <f>'Sampling Data'!K55</f>
        <v>0</v>
      </c>
      <c r="M55" s="115">
        <f>'Sampling Data'!L55</f>
        <v>0</v>
      </c>
      <c r="N55" s="115">
        <f>'Sampling Data'!M55</f>
        <v>0</v>
      </c>
      <c r="O55" s="114">
        <f>'Sampling Data'!N55</f>
        <v>0</v>
      </c>
      <c r="P55" s="114">
        <f>'Sampling Data'!O55</f>
        <v>0</v>
      </c>
      <c r="Q55" s="114">
        <f>'Sampling Data'!P55</f>
        <v>19</v>
      </c>
      <c r="R55" s="114">
        <f>'Sampling Data'!AJ55</f>
        <v>0</v>
      </c>
      <c r="S55" s="116"/>
      <c r="T55" s="116"/>
      <c r="U55" s="117"/>
      <c r="V55" s="117"/>
      <c r="W55" s="116"/>
      <c r="X55" s="116"/>
      <c r="Y55" s="116"/>
      <c r="Z55" s="116"/>
      <c r="AA55" s="15"/>
      <c r="AB55" s="15"/>
      <c r="AC55" s="15"/>
      <c r="AD55" s="15"/>
      <c r="AE55" s="118" t="str">
        <f>IF(NOT(ISBLANK(Audit[[#This Row],[Audit Winning Candidate]])), Audit[[#This Row],[Audit Winning Candidate]]-Audit[[#This Row],[Winning Candidate]], "")</f>
        <v/>
      </c>
      <c r="AF55" s="114" t="str">
        <f>IF(NOT(ISBLANK(Audit[[#This Row],[Audit Losing Candidate]])), Audit[[#This Row],[Audit Losing Candidate]]-Audit[[#This Row],[Losing Candidate]], "")</f>
        <v/>
      </c>
      <c r="AG55" s="114" t="str">
        <f>IF(NOT(ISBLANK(Audit[[#This Row],[Audit Candidate 3]])), Audit[[#This Row],[Audit Candidate 3]]-Audit[[#This Row],[Candidate 3]], "")</f>
        <v/>
      </c>
      <c r="AH55" s="114" t="str">
        <f>IF(NOT(ISBLANK(Audit[[#This Row],[Audit Candidate 4]])),Audit[[#This Row],[Audit Candidate 4]]-Audit[[#This Row],[Candidate 4]], "")</f>
        <v/>
      </c>
      <c r="AI55" s="114" t="str">
        <f>IF(NOT(ISBLANK(Audit[[#This Row],[Audit Candidate 5]])), Audit[[#This Row],[Audit Candidate 5]]-Audit[[#This Row],[Candidate 5]], "")</f>
        <v/>
      </c>
      <c r="AJ55" s="114" t="str">
        <f>IF(NOT(ISBLANK(Audit[[#This Row],[Audit Candidate 6]])), Audit[[#This Row],[Audit Candidate 6]]-Audit[[#This Row],[Candidate 6]], "")</f>
        <v/>
      </c>
      <c r="AK55" s="114" t="str">
        <f>IF(NOT(ISBLANK(Audit[[#This Row],[Audit Candidate 7]])), Audit[[#This Row],[Audit Candidate 7]]-Audit[[#This Row],[Candidate 7]], "")</f>
        <v/>
      </c>
      <c r="AL55" s="114" t="str">
        <f>IF(NOT(ISBLANK(Audit[[#This Row],[Audit Candidate 8]])), Audit[[#This Row],[Audit Candidate 8]]-Audit[[#This Row],[Candidate 8]], "")</f>
        <v/>
      </c>
      <c r="AM55" s="114" t="str">
        <f>IF(NOT(ISBLANK(Audit[[#This Row],[Audit Candidate 9]])), Audit[[#This Row],[Audit Candidate 9]]-Audit[[#This Row],[Candidate 9]], "")</f>
        <v/>
      </c>
      <c r="AN55" s="114" t="str">
        <f>IF(NOT(ISBLANK(Audit[[#This Row],[Audit Candidate 10]])), Audit[[#This Row],[Audit Candidate 10]]-Audit[[#This Row],[Candidate 10]], "")</f>
        <v/>
      </c>
      <c r="AO55" s="114" t="str">
        <f>IF(NOT(ISBLANK(Audit[[#This Row],[Audit Candidate 11]])), Audit[[#This Row],[Audit Candidate 11]]-Audit[[#This Row],[Candidate 11]], "")</f>
        <v/>
      </c>
      <c r="AP55" s="114" t="str">
        <f>IF(NOT(ISBLANK(Audit[[#This Row],[Audit Candidate 12]])), Audit[[#This Row],[Audit Candidate 12]]-Audit[[#This Row],[Candidate 12]], "")</f>
        <v/>
      </c>
      <c r="AQ55" s="114">
        <f>SUMIF(Audit[[#This Row],[Difference Winner]:[Difference Candidate 12]], "&gt;0")</f>
        <v>0</v>
      </c>
      <c r="AR55" s="114">
        <f>SUM(Audit[[#This Row],[Difference Winner]:[Difference Candidate 12]])</f>
        <v>0</v>
      </c>
      <c r="AS55" s="114">
        <f>IF(Audit[[#This Row],[Times p Drawn - With Replacement]]&gt;0, IF(Audit[[#This Row],[Canceled Differences]]&lt;0, Audit[[#This Row],[Max Differences]]+ABS(Audit[[#This Row],[Canceled Differences]]), Audit[[#This Row],[Max Differences]]), 0)</f>
        <v>0</v>
      </c>
      <c r="AT55" s="114">
        <f>'Sampling Data'!AB55</f>
        <v>1.9594210226913595E-3</v>
      </c>
      <c r="AU55" s="114">
        <f>IF(
      SUM(Audit[[#This Row],[Audit Losing Candidate]:[Audit Candidate 12]])
      &lt;&gt;0,
      (Audit[[#This Row],[Winning Candidate]]-Audit[[#This Row],[Losing Candidate]]-(Audit[[#This Row],[Audit Winning Candidate]]-Audit[[#This Row],[Audit Losing Candidate]]))/(Audit[[#Totals],[Winning Candidate]]-Audit[[#Totals],[Losing Candidate]]),
      0
)</f>
        <v>0</v>
      </c>
      <c r="AV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 s="114">
        <f>IF(Audit[[#This Row],[Max Relative Error (ep)]] = 0, 0, Audit[[#This Row],[Max Relative Error (ep)]]/Audit[[#This Row],[Error Bound (up) - Max. possible relative overstatement]])</f>
        <v>0</v>
      </c>
      <c r="BH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5" s="114">
        <f t="shared" si="1"/>
        <v>1</v>
      </c>
      <c r="BJ55" s="114">
        <f>PRODUCT($BI$5:BI55)</f>
        <v>0.35300762669611035</v>
      </c>
      <c r="BK55" s="112">
        <f>1 - Audit[[#This Row],[K-M P Value]]</f>
        <v>0.64699237330388959</v>
      </c>
      <c r="BL55" s="114" t="str">
        <f>IF(Audit[[#This Row],[K-M P Value]]&gt;1-'General Info'!$B$12,"Continue", "Stop")</f>
        <v>Continue</v>
      </c>
      <c r="BM55" s="113" t="b">
        <f>IF(Audit[[#This Row],[Status - Continue or stop audit]] = "Continue", TRUE, IF(BL54 = "Continue", TRUE, FALSE))</f>
        <v>1</v>
      </c>
      <c r="BN55" s="113"/>
    </row>
    <row r="56" spans="1:66" ht="15" hidden="1" customHeight="1" x14ac:dyDescent="0.35">
      <c r="A56" s="114" t="str">
        <f>'Sampling Data'!AI56</f>
        <v/>
      </c>
      <c r="B56" s="114" t="str">
        <f>'Sampling Data'!A56</f>
        <v>0701 CIN 7-A   (AV)</v>
      </c>
      <c r="C56" s="114">
        <f>'Sampling Data'!B56</f>
        <v>40</v>
      </c>
      <c r="D56" s="114">
        <f>'Sampling Data'!C56</f>
        <v>5</v>
      </c>
      <c r="E56" s="115">
        <f>'Sampling Data'!D56</f>
        <v>0</v>
      </c>
      <c r="F56" s="115">
        <f>'Sampling Data'!E56</f>
        <v>0</v>
      </c>
      <c r="G56" s="115">
        <f>'Sampling Data'!F56</f>
        <v>0</v>
      </c>
      <c r="H56" s="115">
        <f>'Sampling Data'!G56</f>
        <v>0</v>
      </c>
      <c r="I56" s="115">
        <f>'Sampling Data'!H56</f>
        <v>0</v>
      </c>
      <c r="J56" s="115">
        <f>'Sampling Data'!I56</f>
        <v>0</v>
      </c>
      <c r="K56" s="115">
        <f>'Sampling Data'!J56</f>
        <v>0</v>
      </c>
      <c r="L56" s="115">
        <f>'Sampling Data'!K56</f>
        <v>0</v>
      </c>
      <c r="M56" s="115">
        <f>'Sampling Data'!L56</f>
        <v>0</v>
      </c>
      <c r="N56" s="115">
        <f>'Sampling Data'!M56</f>
        <v>0</v>
      </c>
      <c r="O56" s="114">
        <f>'Sampling Data'!N56</f>
        <v>0</v>
      </c>
      <c r="P56" s="114">
        <f>'Sampling Data'!O56</f>
        <v>1</v>
      </c>
      <c r="Q56" s="114">
        <f>'Sampling Data'!P56</f>
        <v>46</v>
      </c>
      <c r="R56" s="114">
        <f>'Sampling Data'!AJ56</f>
        <v>0</v>
      </c>
      <c r="S56" s="116"/>
      <c r="T56" s="116"/>
      <c r="U56" s="117"/>
      <c r="V56" s="117"/>
      <c r="W56" s="116"/>
      <c r="X56" s="116"/>
      <c r="Y56" s="116"/>
      <c r="Z56" s="116"/>
      <c r="AA56" s="15"/>
      <c r="AB56" s="15"/>
      <c r="AC56" s="15"/>
      <c r="AD56" s="15"/>
      <c r="AE56" s="118" t="str">
        <f>IF(NOT(ISBLANK(Audit[[#This Row],[Audit Winning Candidate]])), Audit[[#This Row],[Audit Winning Candidate]]-Audit[[#This Row],[Winning Candidate]], "")</f>
        <v/>
      </c>
      <c r="AF56" s="114" t="str">
        <f>IF(NOT(ISBLANK(Audit[[#This Row],[Audit Losing Candidate]])), Audit[[#This Row],[Audit Losing Candidate]]-Audit[[#This Row],[Losing Candidate]], "")</f>
        <v/>
      </c>
      <c r="AG56" s="114" t="str">
        <f>IF(NOT(ISBLANK(Audit[[#This Row],[Audit Candidate 3]])), Audit[[#This Row],[Audit Candidate 3]]-Audit[[#This Row],[Candidate 3]], "")</f>
        <v/>
      </c>
      <c r="AH56" s="114" t="str">
        <f>IF(NOT(ISBLANK(Audit[[#This Row],[Audit Candidate 4]])),Audit[[#This Row],[Audit Candidate 4]]-Audit[[#This Row],[Candidate 4]], "")</f>
        <v/>
      </c>
      <c r="AI56" s="114" t="str">
        <f>IF(NOT(ISBLANK(Audit[[#This Row],[Audit Candidate 5]])), Audit[[#This Row],[Audit Candidate 5]]-Audit[[#This Row],[Candidate 5]], "")</f>
        <v/>
      </c>
      <c r="AJ56" s="114" t="str">
        <f>IF(NOT(ISBLANK(Audit[[#This Row],[Audit Candidate 6]])), Audit[[#This Row],[Audit Candidate 6]]-Audit[[#This Row],[Candidate 6]], "")</f>
        <v/>
      </c>
      <c r="AK56" s="114" t="str">
        <f>IF(NOT(ISBLANK(Audit[[#This Row],[Audit Candidate 7]])), Audit[[#This Row],[Audit Candidate 7]]-Audit[[#This Row],[Candidate 7]], "")</f>
        <v/>
      </c>
      <c r="AL56" s="114" t="str">
        <f>IF(NOT(ISBLANK(Audit[[#This Row],[Audit Candidate 8]])), Audit[[#This Row],[Audit Candidate 8]]-Audit[[#This Row],[Candidate 8]], "")</f>
        <v/>
      </c>
      <c r="AM56" s="114" t="str">
        <f>IF(NOT(ISBLANK(Audit[[#This Row],[Audit Candidate 9]])), Audit[[#This Row],[Audit Candidate 9]]-Audit[[#This Row],[Candidate 9]], "")</f>
        <v/>
      </c>
      <c r="AN56" s="114" t="str">
        <f>IF(NOT(ISBLANK(Audit[[#This Row],[Audit Candidate 10]])), Audit[[#This Row],[Audit Candidate 10]]-Audit[[#This Row],[Candidate 10]], "")</f>
        <v/>
      </c>
      <c r="AO56" s="114" t="str">
        <f>IF(NOT(ISBLANK(Audit[[#This Row],[Audit Candidate 11]])), Audit[[#This Row],[Audit Candidate 11]]-Audit[[#This Row],[Candidate 11]], "")</f>
        <v/>
      </c>
      <c r="AP56" s="114" t="str">
        <f>IF(NOT(ISBLANK(Audit[[#This Row],[Audit Candidate 12]])), Audit[[#This Row],[Audit Candidate 12]]-Audit[[#This Row],[Candidate 12]], "")</f>
        <v/>
      </c>
      <c r="AQ56" s="114">
        <f>SUMIF(Audit[[#This Row],[Difference Winner]:[Difference Candidate 12]], "&gt;0")</f>
        <v>0</v>
      </c>
      <c r="AR56" s="114">
        <f>SUM(Audit[[#This Row],[Difference Winner]:[Difference Candidate 12]])</f>
        <v>0</v>
      </c>
      <c r="AS56" s="114">
        <f>IF(Audit[[#This Row],[Times p Drawn - With Replacement]]&gt;0, IF(Audit[[#This Row],[Canceled Differences]]&lt;0, Audit[[#This Row],[Max Differences]]+ABS(Audit[[#This Row],[Canceled Differences]]), Audit[[#This Row],[Max Differences]]), 0)</f>
        <v>0</v>
      </c>
      <c r="AT56" s="114">
        <f>'Sampling Data'!AB56</f>
        <v>5.1197775109032301E-3</v>
      </c>
      <c r="AU56" s="114">
        <f>IF(
      SUM(Audit[[#This Row],[Audit Losing Candidate]:[Audit Candidate 12]])
      &lt;&gt;0,
      (Audit[[#This Row],[Winning Candidate]]-Audit[[#This Row],[Losing Candidate]]-(Audit[[#This Row],[Audit Winning Candidate]]-Audit[[#This Row],[Audit Losing Candidate]]))/(Audit[[#Totals],[Winning Candidate]]-Audit[[#Totals],[Losing Candidate]]),
      0
)</f>
        <v>0</v>
      </c>
      <c r="AV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 s="114">
        <f>IF(Audit[[#This Row],[Max Relative Error (ep)]] = 0, 0, Audit[[#This Row],[Max Relative Error (ep)]]/Audit[[#This Row],[Error Bound (up) - Max. possible relative overstatement]])</f>
        <v>0</v>
      </c>
      <c r="BH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6" s="114">
        <f t="shared" si="1"/>
        <v>1</v>
      </c>
      <c r="BJ56" s="114">
        <f>PRODUCT($BI$5:BI56)</f>
        <v>0.35300762669611035</v>
      </c>
      <c r="BK56" s="112">
        <f>1 - Audit[[#This Row],[K-M P Value]]</f>
        <v>0.64699237330388959</v>
      </c>
      <c r="BL56" s="114" t="str">
        <f>IF(Audit[[#This Row],[K-M P Value]]&gt;1-'General Info'!$B$12,"Continue", "Stop")</f>
        <v>Continue</v>
      </c>
      <c r="BM56" s="113" t="b">
        <f>IF(Audit[[#This Row],[Status - Continue or stop audit]] = "Continue", TRUE, IF(BL55 = "Continue", TRUE, FALSE))</f>
        <v>1</v>
      </c>
      <c r="BN56" s="113"/>
    </row>
    <row r="57" spans="1:66" ht="15" hidden="1" customHeight="1" x14ac:dyDescent="0.35">
      <c r="A57" s="114" t="str">
        <f>'Sampling Data'!AI57</f>
        <v/>
      </c>
      <c r="B57" s="114" t="str">
        <f>'Sampling Data'!A57</f>
        <v>0702 CIN 7-B   (AV)</v>
      </c>
      <c r="C57" s="114">
        <f>'Sampling Data'!B57</f>
        <v>12</v>
      </c>
      <c r="D57" s="114">
        <f>'Sampling Data'!C57</f>
        <v>0</v>
      </c>
      <c r="E57" s="115">
        <f>'Sampling Data'!D57</f>
        <v>0</v>
      </c>
      <c r="F57" s="115">
        <f>'Sampling Data'!E57</f>
        <v>0</v>
      </c>
      <c r="G57" s="115">
        <f>'Sampling Data'!F57</f>
        <v>0</v>
      </c>
      <c r="H57" s="115">
        <f>'Sampling Data'!G57</f>
        <v>0</v>
      </c>
      <c r="I57" s="115">
        <f>'Sampling Data'!H57</f>
        <v>0</v>
      </c>
      <c r="J57" s="115">
        <f>'Sampling Data'!I57</f>
        <v>0</v>
      </c>
      <c r="K57" s="115">
        <f>'Sampling Data'!J57</f>
        <v>0</v>
      </c>
      <c r="L57" s="115">
        <f>'Sampling Data'!K57</f>
        <v>0</v>
      </c>
      <c r="M57" s="115">
        <f>'Sampling Data'!L57</f>
        <v>0</v>
      </c>
      <c r="N57" s="115">
        <f>'Sampling Data'!M57</f>
        <v>0</v>
      </c>
      <c r="O57" s="114">
        <f>'Sampling Data'!N57</f>
        <v>0</v>
      </c>
      <c r="P57" s="114">
        <f>'Sampling Data'!O57</f>
        <v>0</v>
      </c>
      <c r="Q57" s="114">
        <f>'Sampling Data'!P57</f>
        <v>12</v>
      </c>
      <c r="R57" s="114">
        <f>'Sampling Data'!AJ57</f>
        <v>0</v>
      </c>
      <c r="S57" s="116"/>
      <c r="T57" s="116"/>
      <c r="U57" s="117"/>
      <c r="V57" s="117"/>
      <c r="W57" s="116"/>
      <c r="X57" s="116"/>
      <c r="Y57" s="116"/>
      <c r="Z57" s="116"/>
      <c r="AA57" s="15"/>
      <c r="AB57" s="15"/>
      <c r="AC57" s="15"/>
      <c r="AD57" s="15"/>
      <c r="AE57" s="118" t="str">
        <f>IF(NOT(ISBLANK(Audit[[#This Row],[Audit Winning Candidate]])), Audit[[#This Row],[Audit Winning Candidate]]-Audit[[#This Row],[Winning Candidate]], "")</f>
        <v/>
      </c>
      <c r="AF57" s="114" t="str">
        <f>IF(NOT(ISBLANK(Audit[[#This Row],[Audit Losing Candidate]])), Audit[[#This Row],[Audit Losing Candidate]]-Audit[[#This Row],[Losing Candidate]], "")</f>
        <v/>
      </c>
      <c r="AG57" s="114" t="str">
        <f>IF(NOT(ISBLANK(Audit[[#This Row],[Audit Candidate 3]])), Audit[[#This Row],[Audit Candidate 3]]-Audit[[#This Row],[Candidate 3]], "")</f>
        <v/>
      </c>
      <c r="AH57" s="114" t="str">
        <f>IF(NOT(ISBLANK(Audit[[#This Row],[Audit Candidate 4]])),Audit[[#This Row],[Audit Candidate 4]]-Audit[[#This Row],[Candidate 4]], "")</f>
        <v/>
      </c>
      <c r="AI57" s="114" t="str">
        <f>IF(NOT(ISBLANK(Audit[[#This Row],[Audit Candidate 5]])), Audit[[#This Row],[Audit Candidate 5]]-Audit[[#This Row],[Candidate 5]], "")</f>
        <v/>
      </c>
      <c r="AJ57" s="114" t="str">
        <f>IF(NOT(ISBLANK(Audit[[#This Row],[Audit Candidate 6]])), Audit[[#This Row],[Audit Candidate 6]]-Audit[[#This Row],[Candidate 6]], "")</f>
        <v/>
      </c>
      <c r="AK57" s="114" t="str">
        <f>IF(NOT(ISBLANK(Audit[[#This Row],[Audit Candidate 7]])), Audit[[#This Row],[Audit Candidate 7]]-Audit[[#This Row],[Candidate 7]], "")</f>
        <v/>
      </c>
      <c r="AL57" s="114" t="str">
        <f>IF(NOT(ISBLANK(Audit[[#This Row],[Audit Candidate 8]])), Audit[[#This Row],[Audit Candidate 8]]-Audit[[#This Row],[Candidate 8]], "")</f>
        <v/>
      </c>
      <c r="AM57" s="114" t="str">
        <f>IF(NOT(ISBLANK(Audit[[#This Row],[Audit Candidate 9]])), Audit[[#This Row],[Audit Candidate 9]]-Audit[[#This Row],[Candidate 9]], "")</f>
        <v/>
      </c>
      <c r="AN57" s="114" t="str">
        <f>IF(NOT(ISBLANK(Audit[[#This Row],[Audit Candidate 10]])), Audit[[#This Row],[Audit Candidate 10]]-Audit[[#This Row],[Candidate 10]], "")</f>
        <v/>
      </c>
      <c r="AO57" s="114" t="str">
        <f>IF(NOT(ISBLANK(Audit[[#This Row],[Audit Candidate 11]])), Audit[[#This Row],[Audit Candidate 11]]-Audit[[#This Row],[Candidate 11]], "")</f>
        <v/>
      </c>
      <c r="AP57" s="114" t="str">
        <f>IF(NOT(ISBLANK(Audit[[#This Row],[Audit Candidate 12]])), Audit[[#This Row],[Audit Candidate 12]]-Audit[[#This Row],[Candidate 12]], "")</f>
        <v/>
      </c>
      <c r="AQ57" s="114">
        <f>SUMIF(Audit[[#This Row],[Difference Winner]:[Difference Candidate 12]], "&gt;0")</f>
        <v>0</v>
      </c>
      <c r="AR57" s="114">
        <f>SUM(Audit[[#This Row],[Difference Winner]:[Difference Candidate 12]])</f>
        <v>0</v>
      </c>
      <c r="AS57" s="114">
        <f>IF(Audit[[#This Row],[Times p Drawn - With Replacement]]&gt;0, IF(Audit[[#This Row],[Canceled Differences]]&lt;0, Audit[[#This Row],[Max Differences]]+ABS(Audit[[#This Row],[Canceled Differences]]), Audit[[#This Row],[Max Differences]]), 0)</f>
        <v>0</v>
      </c>
      <c r="AT57" s="114">
        <f>'Sampling Data'!AB57</f>
        <v>1.5169711143416978E-3</v>
      </c>
      <c r="AU57" s="114">
        <f>IF(
      SUM(Audit[[#This Row],[Audit Losing Candidate]:[Audit Candidate 12]])
      &lt;&gt;0,
      (Audit[[#This Row],[Winning Candidate]]-Audit[[#This Row],[Losing Candidate]]-(Audit[[#This Row],[Audit Winning Candidate]]-Audit[[#This Row],[Audit Losing Candidate]]))/(Audit[[#Totals],[Winning Candidate]]-Audit[[#Totals],[Losing Candidate]]),
      0
)</f>
        <v>0</v>
      </c>
      <c r="AV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 s="114">
        <f>IF(Audit[[#This Row],[Max Relative Error (ep)]] = 0, 0, Audit[[#This Row],[Max Relative Error (ep)]]/Audit[[#This Row],[Error Bound (up) - Max. possible relative overstatement]])</f>
        <v>0</v>
      </c>
      <c r="BH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7" s="114">
        <f t="shared" si="1"/>
        <v>1</v>
      </c>
      <c r="BJ57" s="114">
        <f>PRODUCT($BI$5:BI57)</f>
        <v>0.35300762669611035</v>
      </c>
      <c r="BK57" s="112">
        <f>1 - Audit[[#This Row],[K-M P Value]]</f>
        <v>0.64699237330388959</v>
      </c>
      <c r="BL57" s="114" t="str">
        <f>IF(Audit[[#This Row],[K-M P Value]]&gt;1-'General Info'!$B$12,"Continue", "Stop")</f>
        <v>Continue</v>
      </c>
      <c r="BM57" s="113" t="b">
        <f>IF(Audit[[#This Row],[Status - Continue or stop audit]] = "Continue", TRUE, IF(BL56 = "Continue", TRUE, FALSE))</f>
        <v>1</v>
      </c>
      <c r="BN57" s="113"/>
    </row>
    <row r="58" spans="1:66" ht="15" hidden="1" customHeight="1" x14ac:dyDescent="0.35">
      <c r="A58" s="114" t="str">
        <f>'Sampling Data'!AI58</f>
        <v/>
      </c>
      <c r="B58" s="114" t="str">
        <f>'Sampling Data'!A58</f>
        <v>0703 CIN 7-C   (AV)</v>
      </c>
      <c r="C58" s="114">
        <f>'Sampling Data'!B58</f>
        <v>31</v>
      </c>
      <c r="D58" s="114">
        <f>'Sampling Data'!C58</f>
        <v>0</v>
      </c>
      <c r="E58" s="115">
        <f>'Sampling Data'!D58</f>
        <v>0</v>
      </c>
      <c r="F58" s="115">
        <f>'Sampling Data'!E58</f>
        <v>0</v>
      </c>
      <c r="G58" s="115">
        <f>'Sampling Data'!F58</f>
        <v>0</v>
      </c>
      <c r="H58" s="115">
        <f>'Sampling Data'!G58</f>
        <v>0</v>
      </c>
      <c r="I58" s="115">
        <f>'Sampling Data'!H58</f>
        <v>0</v>
      </c>
      <c r="J58" s="115">
        <f>'Sampling Data'!I58</f>
        <v>0</v>
      </c>
      <c r="K58" s="115">
        <f>'Sampling Data'!J58</f>
        <v>0</v>
      </c>
      <c r="L58" s="115">
        <f>'Sampling Data'!K58</f>
        <v>0</v>
      </c>
      <c r="M58" s="115">
        <f>'Sampling Data'!L58</f>
        <v>0</v>
      </c>
      <c r="N58" s="115">
        <f>'Sampling Data'!M58</f>
        <v>0</v>
      </c>
      <c r="O58" s="114">
        <f>'Sampling Data'!N58</f>
        <v>0</v>
      </c>
      <c r="P58" s="114">
        <f>'Sampling Data'!O58</f>
        <v>1</v>
      </c>
      <c r="Q58" s="114">
        <f>'Sampling Data'!P58</f>
        <v>32</v>
      </c>
      <c r="R58" s="114">
        <f>'Sampling Data'!AJ58</f>
        <v>0</v>
      </c>
      <c r="S58" s="116"/>
      <c r="T58" s="116"/>
      <c r="U58" s="117"/>
      <c r="V58" s="117"/>
      <c r="W58" s="116"/>
      <c r="X58" s="116"/>
      <c r="Y58" s="116"/>
      <c r="Z58" s="116"/>
      <c r="AA58" s="15"/>
      <c r="AB58" s="15"/>
      <c r="AC58" s="15"/>
      <c r="AD58" s="15"/>
      <c r="AE58" s="118" t="str">
        <f>IF(NOT(ISBLANK(Audit[[#This Row],[Audit Winning Candidate]])), Audit[[#This Row],[Audit Winning Candidate]]-Audit[[#This Row],[Winning Candidate]], "")</f>
        <v/>
      </c>
      <c r="AF58" s="114" t="str">
        <f>IF(NOT(ISBLANK(Audit[[#This Row],[Audit Losing Candidate]])), Audit[[#This Row],[Audit Losing Candidate]]-Audit[[#This Row],[Losing Candidate]], "")</f>
        <v/>
      </c>
      <c r="AG58" s="114" t="str">
        <f>IF(NOT(ISBLANK(Audit[[#This Row],[Audit Candidate 3]])), Audit[[#This Row],[Audit Candidate 3]]-Audit[[#This Row],[Candidate 3]], "")</f>
        <v/>
      </c>
      <c r="AH58" s="114" t="str">
        <f>IF(NOT(ISBLANK(Audit[[#This Row],[Audit Candidate 4]])),Audit[[#This Row],[Audit Candidate 4]]-Audit[[#This Row],[Candidate 4]], "")</f>
        <v/>
      </c>
      <c r="AI58" s="114" t="str">
        <f>IF(NOT(ISBLANK(Audit[[#This Row],[Audit Candidate 5]])), Audit[[#This Row],[Audit Candidate 5]]-Audit[[#This Row],[Candidate 5]], "")</f>
        <v/>
      </c>
      <c r="AJ58" s="114" t="str">
        <f>IF(NOT(ISBLANK(Audit[[#This Row],[Audit Candidate 6]])), Audit[[#This Row],[Audit Candidate 6]]-Audit[[#This Row],[Candidate 6]], "")</f>
        <v/>
      </c>
      <c r="AK58" s="114" t="str">
        <f>IF(NOT(ISBLANK(Audit[[#This Row],[Audit Candidate 7]])), Audit[[#This Row],[Audit Candidate 7]]-Audit[[#This Row],[Candidate 7]], "")</f>
        <v/>
      </c>
      <c r="AL58" s="114" t="str">
        <f>IF(NOT(ISBLANK(Audit[[#This Row],[Audit Candidate 8]])), Audit[[#This Row],[Audit Candidate 8]]-Audit[[#This Row],[Candidate 8]], "")</f>
        <v/>
      </c>
      <c r="AM58" s="114" t="str">
        <f>IF(NOT(ISBLANK(Audit[[#This Row],[Audit Candidate 9]])), Audit[[#This Row],[Audit Candidate 9]]-Audit[[#This Row],[Candidate 9]], "")</f>
        <v/>
      </c>
      <c r="AN58" s="114" t="str">
        <f>IF(NOT(ISBLANK(Audit[[#This Row],[Audit Candidate 10]])), Audit[[#This Row],[Audit Candidate 10]]-Audit[[#This Row],[Candidate 10]], "")</f>
        <v/>
      </c>
      <c r="AO58" s="114" t="str">
        <f>IF(NOT(ISBLANK(Audit[[#This Row],[Audit Candidate 11]])), Audit[[#This Row],[Audit Candidate 11]]-Audit[[#This Row],[Candidate 11]], "")</f>
        <v/>
      </c>
      <c r="AP58" s="114" t="str">
        <f>IF(NOT(ISBLANK(Audit[[#This Row],[Audit Candidate 12]])), Audit[[#This Row],[Audit Candidate 12]]-Audit[[#This Row],[Candidate 12]], "")</f>
        <v/>
      </c>
      <c r="AQ58" s="114">
        <f>SUMIF(Audit[[#This Row],[Difference Winner]:[Difference Candidate 12]], "&gt;0")</f>
        <v>0</v>
      </c>
      <c r="AR58" s="114">
        <f>SUM(Audit[[#This Row],[Difference Winner]:[Difference Candidate 12]])</f>
        <v>0</v>
      </c>
      <c r="AS58" s="114">
        <f>IF(Audit[[#This Row],[Times p Drawn - With Replacement]]&gt;0, IF(Audit[[#This Row],[Canceled Differences]]&lt;0, Audit[[#This Row],[Max Differences]]+ABS(Audit[[#This Row],[Canceled Differences]]), Audit[[#This Row],[Max Differences]]), 0)</f>
        <v>0</v>
      </c>
      <c r="AT58" s="114">
        <f>'Sampling Data'!AB58</f>
        <v>3.9820491751469565E-3</v>
      </c>
      <c r="AU58" s="114">
        <f>IF(
      SUM(Audit[[#This Row],[Audit Losing Candidate]:[Audit Candidate 12]])
      &lt;&gt;0,
      (Audit[[#This Row],[Winning Candidate]]-Audit[[#This Row],[Losing Candidate]]-(Audit[[#This Row],[Audit Winning Candidate]]-Audit[[#This Row],[Audit Losing Candidate]]))/(Audit[[#Totals],[Winning Candidate]]-Audit[[#Totals],[Losing Candidate]]),
      0
)</f>
        <v>0</v>
      </c>
      <c r="AV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 s="114">
        <f>IF(Audit[[#This Row],[Max Relative Error (ep)]] = 0, 0, Audit[[#This Row],[Max Relative Error (ep)]]/Audit[[#This Row],[Error Bound (up) - Max. possible relative overstatement]])</f>
        <v>0</v>
      </c>
      <c r="BH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8" s="114">
        <f t="shared" si="1"/>
        <v>1</v>
      </c>
      <c r="BJ58" s="114">
        <f>PRODUCT($BI$5:BI58)</f>
        <v>0.35300762669611035</v>
      </c>
      <c r="BK58" s="112">
        <f>1 - Audit[[#This Row],[K-M P Value]]</f>
        <v>0.64699237330388959</v>
      </c>
      <c r="BL58" s="114" t="str">
        <f>IF(Audit[[#This Row],[K-M P Value]]&gt;1-'General Info'!$B$12,"Continue", "Stop")</f>
        <v>Continue</v>
      </c>
      <c r="BM58" s="113" t="b">
        <f>IF(Audit[[#This Row],[Status - Continue or stop audit]] = "Continue", TRUE, IF(BL57 = "Continue", TRUE, FALSE))</f>
        <v>1</v>
      </c>
      <c r="BN58" s="113"/>
    </row>
    <row r="59" spans="1:66" ht="15" hidden="1" customHeight="1" x14ac:dyDescent="0.35">
      <c r="A59" s="114" t="str">
        <f>'Sampling Data'!AI59</f>
        <v/>
      </c>
      <c r="B59" s="114" t="str">
        <f>'Sampling Data'!A59</f>
        <v>0704 CIN 7-D   (AV)</v>
      </c>
      <c r="C59" s="114">
        <f>'Sampling Data'!B59</f>
        <v>12</v>
      </c>
      <c r="D59" s="114">
        <f>'Sampling Data'!C59</f>
        <v>1</v>
      </c>
      <c r="E59" s="115">
        <f>'Sampling Data'!D59</f>
        <v>0</v>
      </c>
      <c r="F59" s="115">
        <f>'Sampling Data'!E59</f>
        <v>0</v>
      </c>
      <c r="G59" s="115">
        <f>'Sampling Data'!F59</f>
        <v>0</v>
      </c>
      <c r="H59" s="115">
        <f>'Sampling Data'!G59</f>
        <v>0</v>
      </c>
      <c r="I59" s="115">
        <f>'Sampling Data'!H59</f>
        <v>0</v>
      </c>
      <c r="J59" s="115">
        <f>'Sampling Data'!I59</f>
        <v>0</v>
      </c>
      <c r="K59" s="115">
        <f>'Sampling Data'!J59</f>
        <v>0</v>
      </c>
      <c r="L59" s="115">
        <f>'Sampling Data'!K59</f>
        <v>0</v>
      </c>
      <c r="M59" s="115">
        <f>'Sampling Data'!L59</f>
        <v>0</v>
      </c>
      <c r="N59" s="115">
        <f>'Sampling Data'!M59</f>
        <v>0</v>
      </c>
      <c r="O59" s="114">
        <f>'Sampling Data'!N59</f>
        <v>0</v>
      </c>
      <c r="P59" s="114">
        <f>'Sampling Data'!O59</f>
        <v>0</v>
      </c>
      <c r="Q59" s="114">
        <f>'Sampling Data'!P59</f>
        <v>13</v>
      </c>
      <c r="R59" s="114">
        <f>'Sampling Data'!AJ59</f>
        <v>0</v>
      </c>
      <c r="S59" s="116"/>
      <c r="T59" s="116"/>
      <c r="U59" s="117"/>
      <c r="V59" s="117"/>
      <c r="W59" s="116"/>
      <c r="X59" s="116"/>
      <c r="Y59" s="116"/>
      <c r="Z59" s="116"/>
      <c r="AA59" s="15"/>
      <c r="AB59" s="15"/>
      <c r="AC59" s="15"/>
      <c r="AD59" s="15"/>
      <c r="AE59" s="118" t="str">
        <f>IF(NOT(ISBLANK(Audit[[#This Row],[Audit Winning Candidate]])), Audit[[#This Row],[Audit Winning Candidate]]-Audit[[#This Row],[Winning Candidate]], "")</f>
        <v/>
      </c>
      <c r="AF59" s="114" t="str">
        <f>IF(NOT(ISBLANK(Audit[[#This Row],[Audit Losing Candidate]])), Audit[[#This Row],[Audit Losing Candidate]]-Audit[[#This Row],[Losing Candidate]], "")</f>
        <v/>
      </c>
      <c r="AG59" s="114" t="str">
        <f>IF(NOT(ISBLANK(Audit[[#This Row],[Audit Candidate 3]])), Audit[[#This Row],[Audit Candidate 3]]-Audit[[#This Row],[Candidate 3]], "")</f>
        <v/>
      </c>
      <c r="AH59" s="114" t="str">
        <f>IF(NOT(ISBLANK(Audit[[#This Row],[Audit Candidate 4]])),Audit[[#This Row],[Audit Candidate 4]]-Audit[[#This Row],[Candidate 4]], "")</f>
        <v/>
      </c>
      <c r="AI59" s="114" t="str">
        <f>IF(NOT(ISBLANK(Audit[[#This Row],[Audit Candidate 5]])), Audit[[#This Row],[Audit Candidate 5]]-Audit[[#This Row],[Candidate 5]], "")</f>
        <v/>
      </c>
      <c r="AJ59" s="114" t="str">
        <f>IF(NOT(ISBLANK(Audit[[#This Row],[Audit Candidate 6]])), Audit[[#This Row],[Audit Candidate 6]]-Audit[[#This Row],[Candidate 6]], "")</f>
        <v/>
      </c>
      <c r="AK59" s="114" t="str">
        <f>IF(NOT(ISBLANK(Audit[[#This Row],[Audit Candidate 7]])), Audit[[#This Row],[Audit Candidate 7]]-Audit[[#This Row],[Candidate 7]], "")</f>
        <v/>
      </c>
      <c r="AL59" s="114" t="str">
        <f>IF(NOT(ISBLANK(Audit[[#This Row],[Audit Candidate 8]])), Audit[[#This Row],[Audit Candidate 8]]-Audit[[#This Row],[Candidate 8]], "")</f>
        <v/>
      </c>
      <c r="AM59" s="114" t="str">
        <f>IF(NOT(ISBLANK(Audit[[#This Row],[Audit Candidate 9]])), Audit[[#This Row],[Audit Candidate 9]]-Audit[[#This Row],[Candidate 9]], "")</f>
        <v/>
      </c>
      <c r="AN59" s="114" t="str">
        <f>IF(NOT(ISBLANK(Audit[[#This Row],[Audit Candidate 10]])), Audit[[#This Row],[Audit Candidate 10]]-Audit[[#This Row],[Candidate 10]], "")</f>
        <v/>
      </c>
      <c r="AO59" s="114" t="str">
        <f>IF(NOT(ISBLANK(Audit[[#This Row],[Audit Candidate 11]])), Audit[[#This Row],[Audit Candidate 11]]-Audit[[#This Row],[Candidate 11]], "")</f>
        <v/>
      </c>
      <c r="AP59" s="114" t="str">
        <f>IF(NOT(ISBLANK(Audit[[#This Row],[Audit Candidate 12]])), Audit[[#This Row],[Audit Candidate 12]]-Audit[[#This Row],[Candidate 12]], "")</f>
        <v/>
      </c>
      <c r="AQ59" s="114">
        <f>SUMIF(Audit[[#This Row],[Difference Winner]:[Difference Candidate 12]], "&gt;0")</f>
        <v>0</v>
      </c>
      <c r="AR59" s="114">
        <f>SUM(Audit[[#This Row],[Difference Winner]:[Difference Candidate 12]])</f>
        <v>0</v>
      </c>
      <c r="AS59" s="114">
        <f>IF(Audit[[#This Row],[Times p Drawn - With Replacement]]&gt;0, IF(Audit[[#This Row],[Canceled Differences]]&lt;0, Audit[[#This Row],[Max Differences]]+ABS(Audit[[#This Row],[Canceled Differences]]), Audit[[#This Row],[Max Differences]]), 0)</f>
        <v>0</v>
      </c>
      <c r="AT59" s="114">
        <f>'Sampling Data'!AB59</f>
        <v>1.5169711143416978E-3</v>
      </c>
      <c r="AU59" s="114">
        <f>IF(
      SUM(Audit[[#This Row],[Audit Losing Candidate]:[Audit Candidate 12]])
      &lt;&gt;0,
      (Audit[[#This Row],[Winning Candidate]]-Audit[[#This Row],[Losing Candidate]]-(Audit[[#This Row],[Audit Winning Candidate]]-Audit[[#This Row],[Audit Losing Candidate]]))/(Audit[[#Totals],[Winning Candidate]]-Audit[[#Totals],[Losing Candidate]]),
      0
)</f>
        <v>0</v>
      </c>
      <c r="AV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 s="114">
        <f>IF(Audit[[#This Row],[Max Relative Error (ep)]] = 0, 0, Audit[[#This Row],[Max Relative Error (ep)]]/Audit[[#This Row],[Error Bound (up) - Max. possible relative overstatement]])</f>
        <v>0</v>
      </c>
      <c r="BH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59" s="114">
        <f t="shared" si="1"/>
        <v>1</v>
      </c>
      <c r="BJ59" s="114">
        <f>PRODUCT($BI$5:BI59)</f>
        <v>0.35300762669611035</v>
      </c>
      <c r="BK59" s="112">
        <f>1 - Audit[[#This Row],[K-M P Value]]</f>
        <v>0.64699237330388959</v>
      </c>
      <c r="BL59" s="114" t="str">
        <f>IF(Audit[[#This Row],[K-M P Value]]&gt;1-'General Info'!$B$12,"Continue", "Stop")</f>
        <v>Continue</v>
      </c>
      <c r="BM59" s="113" t="b">
        <f>IF(Audit[[#This Row],[Status - Continue or stop audit]] = "Continue", TRUE, IF(BL58 = "Continue", TRUE, FALSE))</f>
        <v>1</v>
      </c>
      <c r="BN59" s="113"/>
    </row>
    <row r="60" spans="1:66" ht="15" hidden="1" customHeight="1" x14ac:dyDescent="0.35">
      <c r="A60" s="114" t="str">
        <f>'Sampling Data'!AI60</f>
        <v/>
      </c>
      <c r="B60" s="114" t="str">
        <f>'Sampling Data'!A60</f>
        <v>0705 CIN 7-E   (AV)</v>
      </c>
      <c r="C60" s="114">
        <f>'Sampling Data'!B60</f>
        <v>30</v>
      </c>
      <c r="D60" s="114">
        <f>'Sampling Data'!C60</f>
        <v>0</v>
      </c>
      <c r="E60" s="115">
        <f>'Sampling Data'!D60</f>
        <v>0</v>
      </c>
      <c r="F60" s="115">
        <f>'Sampling Data'!E60</f>
        <v>0</v>
      </c>
      <c r="G60" s="115">
        <f>'Sampling Data'!F60</f>
        <v>0</v>
      </c>
      <c r="H60" s="115">
        <f>'Sampling Data'!G60</f>
        <v>0</v>
      </c>
      <c r="I60" s="115">
        <f>'Sampling Data'!H60</f>
        <v>0</v>
      </c>
      <c r="J60" s="115">
        <f>'Sampling Data'!I60</f>
        <v>0</v>
      </c>
      <c r="K60" s="115">
        <f>'Sampling Data'!J60</f>
        <v>0</v>
      </c>
      <c r="L60" s="115">
        <f>'Sampling Data'!K60</f>
        <v>0</v>
      </c>
      <c r="M60" s="115">
        <f>'Sampling Data'!L60</f>
        <v>0</v>
      </c>
      <c r="N60" s="115">
        <f>'Sampling Data'!M60</f>
        <v>0</v>
      </c>
      <c r="O60" s="114">
        <f>'Sampling Data'!N60</f>
        <v>0</v>
      </c>
      <c r="P60" s="114">
        <f>'Sampling Data'!O60</f>
        <v>0</v>
      </c>
      <c r="Q60" s="114">
        <f>'Sampling Data'!P60</f>
        <v>30</v>
      </c>
      <c r="R60" s="114">
        <f>'Sampling Data'!AJ60</f>
        <v>0</v>
      </c>
      <c r="S60" s="116"/>
      <c r="T60" s="116"/>
      <c r="U60" s="117"/>
      <c r="V60" s="117"/>
      <c r="W60" s="116"/>
      <c r="X60" s="116"/>
      <c r="Y60" s="116"/>
      <c r="Z60" s="116"/>
      <c r="AA60" s="15"/>
      <c r="AB60" s="15"/>
      <c r="AC60" s="15"/>
      <c r="AD60" s="15"/>
      <c r="AE60" s="118" t="str">
        <f>IF(NOT(ISBLANK(Audit[[#This Row],[Audit Winning Candidate]])), Audit[[#This Row],[Audit Winning Candidate]]-Audit[[#This Row],[Winning Candidate]], "")</f>
        <v/>
      </c>
      <c r="AF60" s="114" t="str">
        <f>IF(NOT(ISBLANK(Audit[[#This Row],[Audit Losing Candidate]])), Audit[[#This Row],[Audit Losing Candidate]]-Audit[[#This Row],[Losing Candidate]], "")</f>
        <v/>
      </c>
      <c r="AG60" s="114" t="str">
        <f>IF(NOT(ISBLANK(Audit[[#This Row],[Audit Candidate 3]])), Audit[[#This Row],[Audit Candidate 3]]-Audit[[#This Row],[Candidate 3]], "")</f>
        <v/>
      </c>
      <c r="AH60" s="114" t="str">
        <f>IF(NOT(ISBLANK(Audit[[#This Row],[Audit Candidate 4]])),Audit[[#This Row],[Audit Candidate 4]]-Audit[[#This Row],[Candidate 4]], "")</f>
        <v/>
      </c>
      <c r="AI60" s="114" t="str">
        <f>IF(NOT(ISBLANK(Audit[[#This Row],[Audit Candidate 5]])), Audit[[#This Row],[Audit Candidate 5]]-Audit[[#This Row],[Candidate 5]], "")</f>
        <v/>
      </c>
      <c r="AJ60" s="114" t="str">
        <f>IF(NOT(ISBLANK(Audit[[#This Row],[Audit Candidate 6]])), Audit[[#This Row],[Audit Candidate 6]]-Audit[[#This Row],[Candidate 6]], "")</f>
        <v/>
      </c>
      <c r="AK60" s="114" t="str">
        <f>IF(NOT(ISBLANK(Audit[[#This Row],[Audit Candidate 7]])), Audit[[#This Row],[Audit Candidate 7]]-Audit[[#This Row],[Candidate 7]], "")</f>
        <v/>
      </c>
      <c r="AL60" s="114" t="str">
        <f>IF(NOT(ISBLANK(Audit[[#This Row],[Audit Candidate 8]])), Audit[[#This Row],[Audit Candidate 8]]-Audit[[#This Row],[Candidate 8]], "")</f>
        <v/>
      </c>
      <c r="AM60" s="114" t="str">
        <f>IF(NOT(ISBLANK(Audit[[#This Row],[Audit Candidate 9]])), Audit[[#This Row],[Audit Candidate 9]]-Audit[[#This Row],[Candidate 9]], "")</f>
        <v/>
      </c>
      <c r="AN60" s="114" t="str">
        <f>IF(NOT(ISBLANK(Audit[[#This Row],[Audit Candidate 10]])), Audit[[#This Row],[Audit Candidate 10]]-Audit[[#This Row],[Candidate 10]], "")</f>
        <v/>
      </c>
      <c r="AO60" s="114" t="str">
        <f>IF(NOT(ISBLANK(Audit[[#This Row],[Audit Candidate 11]])), Audit[[#This Row],[Audit Candidate 11]]-Audit[[#This Row],[Candidate 11]], "")</f>
        <v/>
      </c>
      <c r="AP60" s="114" t="str">
        <f>IF(NOT(ISBLANK(Audit[[#This Row],[Audit Candidate 12]])), Audit[[#This Row],[Audit Candidate 12]]-Audit[[#This Row],[Candidate 12]], "")</f>
        <v/>
      </c>
      <c r="AQ60" s="114">
        <f>SUMIF(Audit[[#This Row],[Difference Winner]:[Difference Candidate 12]], "&gt;0")</f>
        <v>0</v>
      </c>
      <c r="AR60" s="114">
        <f>SUM(Audit[[#This Row],[Difference Winner]:[Difference Candidate 12]])</f>
        <v>0</v>
      </c>
      <c r="AS60" s="114">
        <f>IF(Audit[[#This Row],[Times p Drawn - With Replacement]]&gt;0, IF(Audit[[#This Row],[Canceled Differences]]&lt;0, Audit[[#This Row],[Max Differences]]+ABS(Audit[[#This Row],[Canceled Differences]]), Audit[[#This Row],[Max Differences]]), 0)</f>
        <v>0</v>
      </c>
      <c r="AT60" s="114">
        <f>'Sampling Data'!AB60</f>
        <v>3.7924277858542442E-3</v>
      </c>
      <c r="AU60" s="114">
        <f>IF(
      SUM(Audit[[#This Row],[Audit Losing Candidate]:[Audit Candidate 12]])
      &lt;&gt;0,
      (Audit[[#This Row],[Winning Candidate]]-Audit[[#This Row],[Losing Candidate]]-(Audit[[#This Row],[Audit Winning Candidate]]-Audit[[#This Row],[Audit Losing Candidate]]))/(Audit[[#Totals],[Winning Candidate]]-Audit[[#Totals],[Losing Candidate]]),
      0
)</f>
        <v>0</v>
      </c>
      <c r="AV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 s="114">
        <f>IF(Audit[[#This Row],[Max Relative Error (ep)]] = 0, 0, Audit[[#This Row],[Max Relative Error (ep)]]/Audit[[#This Row],[Error Bound (up) - Max. possible relative overstatement]])</f>
        <v>0</v>
      </c>
      <c r="BH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0" s="114">
        <f t="shared" si="1"/>
        <v>1</v>
      </c>
      <c r="BJ60" s="114">
        <f>PRODUCT($BI$5:BI60)</f>
        <v>0.35300762669611035</v>
      </c>
      <c r="BK60" s="112">
        <f>1 - Audit[[#This Row],[K-M P Value]]</f>
        <v>0.64699237330388959</v>
      </c>
      <c r="BL60" s="114" t="str">
        <f>IF(Audit[[#This Row],[K-M P Value]]&gt;1-'General Info'!$B$12,"Continue", "Stop")</f>
        <v>Continue</v>
      </c>
      <c r="BM60" s="113" t="b">
        <f>IF(Audit[[#This Row],[Status - Continue or stop audit]] = "Continue", TRUE, IF(BL59 = "Continue", TRUE, FALSE))</f>
        <v>1</v>
      </c>
      <c r="BN60" s="113"/>
    </row>
    <row r="61" spans="1:66" ht="15" hidden="1" customHeight="1" x14ac:dyDescent="0.35">
      <c r="A61" s="114" t="str">
        <f>'Sampling Data'!AI61</f>
        <v/>
      </c>
      <c r="B61" s="114" t="str">
        <f>'Sampling Data'!A61</f>
        <v>0706 CIN 7-F   (AV)</v>
      </c>
      <c r="C61" s="114">
        <f>'Sampling Data'!B61</f>
        <v>25</v>
      </c>
      <c r="D61" s="114">
        <f>'Sampling Data'!C61</f>
        <v>1</v>
      </c>
      <c r="E61" s="115">
        <f>'Sampling Data'!D61</f>
        <v>0</v>
      </c>
      <c r="F61" s="115">
        <f>'Sampling Data'!E61</f>
        <v>0</v>
      </c>
      <c r="G61" s="115">
        <f>'Sampling Data'!F61</f>
        <v>0</v>
      </c>
      <c r="H61" s="115">
        <f>'Sampling Data'!G61</f>
        <v>0</v>
      </c>
      <c r="I61" s="115">
        <f>'Sampling Data'!H61</f>
        <v>0</v>
      </c>
      <c r="J61" s="115">
        <f>'Sampling Data'!I61</f>
        <v>0</v>
      </c>
      <c r="K61" s="115">
        <f>'Sampling Data'!J61</f>
        <v>0</v>
      </c>
      <c r="L61" s="115">
        <f>'Sampling Data'!K61</f>
        <v>0</v>
      </c>
      <c r="M61" s="115">
        <f>'Sampling Data'!L61</f>
        <v>0</v>
      </c>
      <c r="N61" s="115">
        <f>'Sampling Data'!M61</f>
        <v>0</v>
      </c>
      <c r="O61" s="114">
        <f>'Sampling Data'!N61</f>
        <v>0</v>
      </c>
      <c r="P61" s="114">
        <f>'Sampling Data'!O61</f>
        <v>1</v>
      </c>
      <c r="Q61" s="114">
        <f>'Sampling Data'!P61</f>
        <v>27</v>
      </c>
      <c r="R61" s="114">
        <f>'Sampling Data'!AJ61</f>
        <v>0</v>
      </c>
      <c r="S61" s="116"/>
      <c r="T61" s="116"/>
      <c r="U61" s="117"/>
      <c r="V61" s="117"/>
      <c r="W61" s="116"/>
      <c r="X61" s="116"/>
      <c r="Y61" s="116"/>
      <c r="Z61" s="116"/>
      <c r="AA61" s="15"/>
      <c r="AB61" s="15"/>
      <c r="AC61" s="15"/>
      <c r="AD61" s="15"/>
      <c r="AE61" s="118" t="str">
        <f>IF(NOT(ISBLANK(Audit[[#This Row],[Audit Winning Candidate]])), Audit[[#This Row],[Audit Winning Candidate]]-Audit[[#This Row],[Winning Candidate]], "")</f>
        <v/>
      </c>
      <c r="AF61" s="114" t="str">
        <f>IF(NOT(ISBLANK(Audit[[#This Row],[Audit Losing Candidate]])), Audit[[#This Row],[Audit Losing Candidate]]-Audit[[#This Row],[Losing Candidate]], "")</f>
        <v/>
      </c>
      <c r="AG61" s="114" t="str">
        <f>IF(NOT(ISBLANK(Audit[[#This Row],[Audit Candidate 3]])), Audit[[#This Row],[Audit Candidate 3]]-Audit[[#This Row],[Candidate 3]], "")</f>
        <v/>
      </c>
      <c r="AH61" s="114" t="str">
        <f>IF(NOT(ISBLANK(Audit[[#This Row],[Audit Candidate 4]])),Audit[[#This Row],[Audit Candidate 4]]-Audit[[#This Row],[Candidate 4]], "")</f>
        <v/>
      </c>
      <c r="AI61" s="114" t="str">
        <f>IF(NOT(ISBLANK(Audit[[#This Row],[Audit Candidate 5]])), Audit[[#This Row],[Audit Candidate 5]]-Audit[[#This Row],[Candidate 5]], "")</f>
        <v/>
      </c>
      <c r="AJ61" s="114" t="str">
        <f>IF(NOT(ISBLANK(Audit[[#This Row],[Audit Candidate 6]])), Audit[[#This Row],[Audit Candidate 6]]-Audit[[#This Row],[Candidate 6]], "")</f>
        <v/>
      </c>
      <c r="AK61" s="114" t="str">
        <f>IF(NOT(ISBLANK(Audit[[#This Row],[Audit Candidate 7]])), Audit[[#This Row],[Audit Candidate 7]]-Audit[[#This Row],[Candidate 7]], "")</f>
        <v/>
      </c>
      <c r="AL61" s="114" t="str">
        <f>IF(NOT(ISBLANK(Audit[[#This Row],[Audit Candidate 8]])), Audit[[#This Row],[Audit Candidate 8]]-Audit[[#This Row],[Candidate 8]], "")</f>
        <v/>
      </c>
      <c r="AM61" s="114" t="str">
        <f>IF(NOT(ISBLANK(Audit[[#This Row],[Audit Candidate 9]])), Audit[[#This Row],[Audit Candidate 9]]-Audit[[#This Row],[Candidate 9]], "")</f>
        <v/>
      </c>
      <c r="AN61" s="114" t="str">
        <f>IF(NOT(ISBLANK(Audit[[#This Row],[Audit Candidate 10]])), Audit[[#This Row],[Audit Candidate 10]]-Audit[[#This Row],[Candidate 10]], "")</f>
        <v/>
      </c>
      <c r="AO61" s="114" t="str">
        <f>IF(NOT(ISBLANK(Audit[[#This Row],[Audit Candidate 11]])), Audit[[#This Row],[Audit Candidate 11]]-Audit[[#This Row],[Candidate 11]], "")</f>
        <v/>
      </c>
      <c r="AP61" s="114" t="str">
        <f>IF(NOT(ISBLANK(Audit[[#This Row],[Audit Candidate 12]])), Audit[[#This Row],[Audit Candidate 12]]-Audit[[#This Row],[Candidate 12]], "")</f>
        <v/>
      </c>
      <c r="AQ61" s="114">
        <f>SUMIF(Audit[[#This Row],[Difference Winner]:[Difference Candidate 12]], "&gt;0")</f>
        <v>0</v>
      </c>
      <c r="AR61" s="114">
        <f>SUM(Audit[[#This Row],[Difference Winner]:[Difference Candidate 12]])</f>
        <v>0</v>
      </c>
      <c r="AS61" s="114">
        <f>IF(Audit[[#This Row],[Times p Drawn - With Replacement]]&gt;0, IF(Audit[[#This Row],[Canceled Differences]]&lt;0, Audit[[#This Row],[Max Differences]]+ABS(Audit[[#This Row],[Canceled Differences]]), Audit[[#This Row],[Max Differences]]), 0)</f>
        <v>0</v>
      </c>
      <c r="AT61" s="114">
        <f>'Sampling Data'!AB61</f>
        <v>3.2235636179761078E-3</v>
      </c>
      <c r="AU61" s="114">
        <f>IF(
      SUM(Audit[[#This Row],[Audit Losing Candidate]:[Audit Candidate 12]])
      &lt;&gt;0,
      (Audit[[#This Row],[Winning Candidate]]-Audit[[#This Row],[Losing Candidate]]-(Audit[[#This Row],[Audit Winning Candidate]]-Audit[[#This Row],[Audit Losing Candidate]]))/(Audit[[#Totals],[Winning Candidate]]-Audit[[#Totals],[Losing Candidate]]),
      0
)</f>
        <v>0</v>
      </c>
      <c r="AV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1" s="114">
        <f>IF(Audit[[#This Row],[Max Relative Error (ep)]] = 0, 0, Audit[[#This Row],[Max Relative Error (ep)]]/Audit[[#This Row],[Error Bound (up) - Max. possible relative overstatement]])</f>
        <v>0</v>
      </c>
      <c r="BH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1" s="114">
        <f t="shared" si="1"/>
        <v>1</v>
      </c>
      <c r="BJ61" s="114">
        <f>PRODUCT($BI$5:BI61)</f>
        <v>0.35300762669611035</v>
      </c>
      <c r="BK61" s="112">
        <f>1 - Audit[[#This Row],[K-M P Value]]</f>
        <v>0.64699237330388959</v>
      </c>
      <c r="BL61" s="114" t="str">
        <f>IF(Audit[[#This Row],[K-M P Value]]&gt;1-'General Info'!$B$12,"Continue", "Stop")</f>
        <v>Continue</v>
      </c>
      <c r="BM61" s="113" t="b">
        <f>IF(Audit[[#This Row],[Status - Continue or stop audit]] = "Continue", TRUE, IF(BL60 = "Continue", TRUE, FALSE))</f>
        <v>1</v>
      </c>
      <c r="BN61" s="113"/>
    </row>
    <row r="62" spans="1:66" ht="15" hidden="1" customHeight="1" x14ac:dyDescent="0.35">
      <c r="A62" s="114" t="str">
        <f>'Sampling Data'!AI62</f>
        <v/>
      </c>
      <c r="B62" s="114" t="str">
        <f>'Sampling Data'!A62</f>
        <v>0707 CIN 7-G   (AV)</v>
      </c>
      <c r="C62" s="114">
        <f>'Sampling Data'!B62</f>
        <v>24</v>
      </c>
      <c r="D62" s="114">
        <f>'Sampling Data'!C62</f>
        <v>9</v>
      </c>
      <c r="E62" s="115">
        <f>'Sampling Data'!D62</f>
        <v>3</v>
      </c>
      <c r="F62" s="115">
        <f>'Sampling Data'!E62</f>
        <v>0</v>
      </c>
      <c r="G62" s="115">
        <f>'Sampling Data'!F62</f>
        <v>0</v>
      </c>
      <c r="H62" s="115">
        <f>'Sampling Data'!G62</f>
        <v>0</v>
      </c>
      <c r="I62" s="115">
        <f>'Sampling Data'!H62</f>
        <v>0</v>
      </c>
      <c r="J62" s="115">
        <f>'Sampling Data'!I62</f>
        <v>0</v>
      </c>
      <c r="K62" s="115">
        <f>'Sampling Data'!J62</f>
        <v>0</v>
      </c>
      <c r="L62" s="115">
        <f>'Sampling Data'!K62</f>
        <v>0</v>
      </c>
      <c r="M62" s="115">
        <f>'Sampling Data'!L62</f>
        <v>0</v>
      </c>
      <c r="N62" s="115">
        <f>'Sampling Data'!M62</f>
        <v>0</v>
      </c>
      <c r="O62" s="114">
        <f>'Sampling Data'!N62</f>
        <v>0</v>
      </c>
      <c r="P62" s="114">
        <f>'Sampling Data'!O62</f>
        <v>2</v>
      </c>
      <c r="Q62" s="114">
        <f>'Sampling Data'!P62</f>
        <v>38</v>
      </c>
      <c r="R62" s="114">
        <f>'Sampling Data'!AJ62</f>
        <v>0</v>
      </c>
      <c r="S62" s="116"/>
      <c r="T62" s="116"/>
      <c r="U62" s="117"/>
      <c r="V62" s="117"/>
      <c r="W62" s="116"/>
      <c r="X62" s="116"/>
      <c r="Y62" s="116"/>
      <c r="Z62" s="116"/>
      <c r="AA62" s="15"/>
      <c r="AB62" s="15"/>
      <c r="AC62" s="15"/>
      <c r="AD62" s="15"/>
      <c r="AE62" s="118" t="str">
        <f>IF(NOT(ISBLANK(Audit[[#This Row],[Audit Winning Candidate]])), Audit[[#This Row],[Audit Winning Candidate]]-Audit[[#This Row],[Winning Candidate]], "")</f>
        <v/>
      </c>
      <c r="AF62" s="114" t="str">
        <f>IF(NOT(ISBLANK(Audit[[#This Row],[Audit Losing Candidate]])), Audit[[#This Row],[Audit Losing Candidate]]-Audit[[#This Row],[Losing Candidate]], "")</f>
        <v/>
      </c>
      <c r="AG62" s="114" t="str">
        <f>IF(NOT(ISBLANK(Audit[[#This Row],[Audit Candidate 3]])), Audit[[#This Row],[Audit Candidate 3]]-Audit[[#This Row],[Candidate 3]], "")</f>
        <v/>
      </c>
      <c r="AH62" s="114" t="str">
        <f>IF(NOT(ISBLANK(Audit[[#This Row],[Audit Candidate 4]])),Audit[[#This Row],[Audit Candidate 4]]-Audit[[#This Row],[Candidate 4]], "")</f>
        <v/>
      </c>
      <c r="AI62" s="114" t="str">
        <f>IF(NOT(ISBLANK(Audit[[#This Row],[Audit Candidate 5]])), Audit[[#This Row],[Audit Candidate 5]]-Audit[[#This Row],[Candidate 5]], "")</f>
        <v/>
      </c>
      <c r="AJ62" s="114" t="str">
        <f>IF(NOT(ISBLANK(Audit[[#This Row],[Audit Candidate 6]])), Audit[[#This Row],[Audit Candidate 6]]-Audit[[#This Row],[Candidate 6]], "")</f>
        <v/>
      </c>
      <c r="AK62" s="114" t="str">
        <f>IF(NOT(ISBLANK(Audit[[#This Row],[Audit Candidate 7]])), Audit[[#This Row],[Audit Candidate 7]]-Audit[[#This Row],[Candidate 7]], "")</f>
        <v/>
      </c>
      <c r="AL62" s="114" t="str">
        <f>IF(NOT(ISBLANK(Audit[[#This Row],[Audit Candidate 8]])), Audit[[#This Row],[Audit Candidate 8]]-Audit[[#This Row],[Candidate 8]], "")</f>
        <v/>
      </c>
      <c r="AM62" s="114" t="str">
        <f>IF(NOT(ISBLANK(Audit[[#This Row],[Audit Candidate 9]])), Audit[[#This Row],[Audit Candidate 9]]-Audit[[#This Row],[Candidate 9]], "")</f>
        <v/>
      </c>
      <c r="AN62" s="114" t="str">
        <f>IF(NOT(ISBLANK(Audit[[#This Row],[Audit Candidate 10]])), Audit[[#This Row],[Audit Candidate 10]]-Audit[[#This Row],[Candidate 10]], "")</f>
        <v/>
      </c>
      <c r="AO62" s="114" t="str">
        <f>IF(NOT(ISBLANK(Audit[[#This Row],[Audit Candidate 11]])), Audit[[#This Row],[Audit Candidate 11]]-Audit[[#This Row],[Candidate 11]], "")</f>
        <v/>
      </c>
      <c r="AP62" s="114" t="str">
        <f>IF(NOT(ISBLANK(Audit[[#This Row],[Audit Candidate 12]])), Audit[[#This Row],[Audit Candidate 12]]-Audit[[#This Row],[Candidate 12]], "")</f>
        <v/>
      </c>
      <c r="AQ62" s="114">
        <f>SUMIF(Audit[[#This Row],[Difference Winner]:[Difference Candidate 12]], "&gt;0")</f>
        <v>0</v>
      </c>
      <c r="AR62" s="114">
        <f>SUM(Audit[[#This Row],[Difference Winner]:[Difference Candidate 12]])</f>
        <v>0</v>
      </c>
      <c r="AS62" s="114">
        <f>IF(Audit[[#This Row],[Times p Drawn - With Replacement]]&gt;0, IF(Audit[[#This Row],[Canceled Differences]]&lt;0, Audit[[#This Row],[Max Differences]]+ABS(Audit[[#This Row],[Canceled Differences]]), Audit[[#This Row],[Max Differences]]), 0)</f>
        <v>0</v>
      </c>
      <c r="AT62" s="114">
        <f>'Sampling Data'!AB62</f>
        <v>3.3499778775045825E-3</v>
      </c>
      <c r="AU62" s="114">
        <f>IF(
      SUM(Audit[[#This Row],[Audit Losing Candidate]:[Audit Candidate 12]])
      &lt;&gt;0,
      (Audit[[#This Row],[Winning Candidate]]-Audit[[#This Row],[Losing Candidate]]-(Audit[[#This Row],[Audit Winning Candidate]]-Audit[[#This Row],[Audit Losing Candidate]]))/(Audit[[#Totals],[Winning Candidate]]-Audit[[#Totals],[Losing Candidate]]),
      0
)</f>
        <v>0</v>
      </c>
      <c r="AV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2" s="114">
        <f>IF(Audit[[#This Row],[Max Relative Error (ep)]] = 0, 0, Audit[[#This Row],[Max Relative Error (ep)]]/Audit[[#This Row],[Error Bound (up) - Max. possible relative overstatement]])</f>
        <v>0</v>
      </c>
      <c r="BH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2" s="114">
        <f t="shared" si="1"/>
        <v>1</v>
      </c>
      <c r="BJ62" s="114">
        <f>PRODUCT($BI$5:BI62)</f>
        <v>0.35300762669611035</v>
      </c>
      <c r="BK62" s="112">
        <f>1 - Audit[[#This Row],[K-M P Value]]</f>
        <v>0.64699237330388959</v>
      </c>
      <c r="BL62" s="114" t="str">
        <f>IF(Audit[[#This Row],[K-M P Value]]&gt;1-'General Info'!$B$12,"Continue", "Stop")</f>
        <v>Continue</v>
      </c>
      <c r="BM62" s="113" t="b">
        <f>IF(Audit[[#This Row],[Status - Continue or stop audit]] = "Continue", TRUE, IF(BL61 = "Continue", TRUE, FALSE))</f>
        <v>1</v>
      </c>
      <c r="BN62" s="113"/>
    </row>
    <row r="63" spans="1:66" ht="15" hidden="1" customHeight="1" x14ac:dyDescent="0.35">
      <c r="A63" s="114" t="str">
        <f>'Sampling Data'!AI63</f>
        <v/>
      </c>
      <c r="B63" s="114" t="str">
        <f>'Sampling Data'!A63</f>
        <v>0708 CIN 7-H   (AV)</v>
      </c>
      <c r="C63" s="114">
        <f>'Sampling Data'!B63</f>
        <v>10</v>
      </c>
      <c r="D63" s="114">
        <f>'Sampling Data'!C63</f>
        <v>0</v>
      </c>
      <c r="E63" s="115">
        <f>'Sampling Data'!D63</f>
        <v>0</v>
      </c>
      <c r="F63" s="115">
        <f>'Sampling Data'!E63</f>
        <v>0</v>
      </c>
      <c r="G63" s="115">
        <f>'Sampling Data'!F63</f>
        <v>0</v>
      </c>
      <c r="H63" s="115">
        <f>'Sampling Data'!G63</f>
        <v>0</v>
      </c>
      <c r="I63" s="115">
        <f>'Sampling Data'!H63</f>
        <v>0</v>
      </c>
      <c r="J63" s="115">
        <f>'Sampling Data'!I63</f>
        <v>0</v>
      </c>
      <c r="K63" s="115">
        <f>'Sampling Data'!J63</f>
        <v>0</v>
      </c>
      <c r="L63" s="115">
        <f>'Sampling Data'!K63</f>
        <v>0</v>
      </c>
      <c r="M63" s="115">
        <f>'Sampling Data'!L63</f>
        <v>0</v>
      </c>
      <c r="N63" s="115">
        <f>'Sampling Data'!M63</f>
        <v>0</v>
      </c>
      <c r="O63" s="114">
        <f>'Sampling Data'!N63</f>
        <v>1</v>
      </c>
      <c r="P63" s="114">
        <f>'Sampling Data'!O63</f>
        <v>1</v>
      </c>
      <c r="Q63" s="114">
        <f>'Sampling Data'!P63</f>
        <v>12</v>
      </c>
      <c r="R63" s="114">
        <f>'Sampling Data'!AJ63</f>
        <v>0</v>
      </c>
      <c r="S63" s="116"/>
      <c r="T63" s="116"/>
      <c r="U63" s="117"/>
      <c r="V63" s="117"/>
      <c r="W63" s="116"/>
      <c r="X63" s="116"/>
      <c r="Y63" s="116"/>
      <c r="Z63" s="116"/>
      <c r="AA63" s="15"/>
      <c r="AB63" s="15"/>
      <c r="AC63" s="15"/>
      <c r="AD63" s="15"/>
      <c r="AE63" s="118" t="str">
        <f>IF(NOT(ISBLANK(Audit[[#This Row],[Audit Winning Candidate]])), Audit[[#This Row],[Audit Winning Candidate]]-Audit[[#This Row],[Winning Candidate]], "")</f>
        <v/>
      </c>
      <c r="AF63" s="114" t="str">
        <f>IF(NOT(ISBLANK(Audit[[#This Row],[Audit Losing Candidate]])), Audit[[#This Row],[Audit Losing Candidate]]-Audit[[#This Row],[Losing Candidate]], "")</f>
        <v/>
      </c>
      <c r="AG63" s="114" t="str">
        <f>IF(NOT(ISBLANK(Audit[[#This Row],[Audit Candidate 3]])), Audit[[#This Row],[Audit Candidate 3]]-Audit[[#This Row],[Candidate 3]], "")</f>
        <v/>
      </c>
      <c r="AH63" s="114" t="str">
        <f>IF(NOT(ISBLANK(Audit[[#This Row],[Audit Candidate 4]])),Audit[[#This Row],[Audit Candidate 4]]-Audit[[#This Row],[Candidate 4]], "")</f>
        <v/>
      </c>
      <c r="AI63" s="114" t="str">
        <f>IF(NOT(ISBLANK(Audit[[#This Row],[Audit Candidate 5]])), Audit[[#This Row],[Audit Candidate 5]]-Audit[[#This Row],[Candidate 5]], "")</f>
        <v/>
      </c>
      <c r="AJ63" s="114" t="str">
        <f>IF(NOT(ISBLANK(Audit[[#This Row],[Audit Candidate 6]])), Audit[[#This Row],[Audit Candidate 6]]-Audit[[#This Row],[Candidate 6]], "")</f>
        <v/>
      </c>
      <c r="AK63" s="114" t="str">
        <f>IF(NOT(ISBLANK(Audit[[#This Row],[Audit Candidate 7]])), Audit[[#This Row],[Audit Candidate 7]]-Audit[[#This Row],[Candidate 7]], "")</f>
        <v/>
      </c>
      <c r="AL63" s="114" t="str">
        <f>IF(NOT(ISBLANK(Audit[[#This Row],[Audit Candidate 8]])), Audit[[#This Row],[Audit Candidate 8]]-Audit[[#This Row],[Candidate 8]], "")</f>
        <v/>
      </c>
      <c r="AM63" s="114" t="str">
        <f>IF(NOT(ISBLANK(Audit[[#This Row],[Audit Candidate 9]])), Audit[[#This Row],[Audit Candidate 9]]-Audit[[#This Row],[Candidate 9]], "")</f>
        <v/>
      </c>
      <c r="AN63" s="114" t="str">
        <f>IF(NOT(ISBLANK(Audit[[#This Row],[Audit Candidate 10]])), Audit[[#This Row],[Audit Candidate 10]]-Audit[[#This Row],[Candidate 10]], "")</f>
        <v/>
      </c>
      <c r="AO63" s="114" t="str">
        <f>IF(NOT(ISBLANK(Audit[[#This Row],[Audit Candidate 11]])), Audit[[#This Row],[Audit Candidate 11]]-Audit[[#This Row],[Candidate 11]], "")</f>
        <v/>
      </c>
      <c r="AP63" s="114" t="str">
        <f>IF(NOT(ISBLANK(Audit[[#This Row],[Audit Candidate 12]])), Audit[[#This Row],[Audit Candidate 12]]-Audit[[#This Row],[Candidate 12]], "")</f>
        <v/>
      </c>
      <c r="AQ63" s="114">
        <f>SUMIF(Audit[[#This Row],[Difference Winner]:[Difference Candidate 12]], "&gt;0")</f>
        <v>0</v>
      </c>
      <c r="AR63" s="114">
        <f>SUM(Audit[[#This Row],[Difference Winner]:[Difference Candidate 12]])</f>
        <v>0</v>
      </c>
      <c r="AS63" s="114">
        <f>IF(Audit[[#This Row],[Times p Drawn - With Replacement]]&gt;0, IF(Audit[[#This Row],[Canceled Differences]]&lt;0, Audit[[#This Row],[Max Differences]]+ABS(Audit[[#This Row],[Canceled Differences]]), Audit[[#This Row],[Max Differences]]), 0)</f>
        <v>0</v>
      </c>
      <c r="AT63" s="114">
        <f>'Sampling Data'!AB63</f>
        <v>1.3905568548132229E-3</v>
      </c>
      <c r="AU63" s="114">
        <f>IF(
      SUM(Audit[[#This Row],[Audit Losing Candidate]:[Audit Candidate 12]])
      &lt;&gt;0,
      (Audit[[#This Row],[Winning Candidate]]-Audit[[#This Row],[Losing Candidate]]-(Audit[[#This Row],[Audit Winning Candidate]]-Audit[[#This Row],[Audit Losing Candidate]]))/(Audit[[#Totals],[Winning Candidate]]-Audit[[#Totals],[Losing Candidate]]),
      0
)</f>
        <v>0</v>
      </c>
      <c r="AV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3" s="114">
        <f>IF(Audit[[#This Row],[Max Relative Error (ep)]] = 0, 0, Audit[[#This Row],[Max Relative Error (ep)]]/Audit[[#This Row],[Error Bound (up) - Max. possible relative overstatement]])</f>
        <v>0</v>
      </c>
      <c r="BH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3" s="114">
        <f t="shared" si="1"/>
        <v>1</v>
      </c>
      <c r="BJ63" s="114">
        <f>PRODUCT($BI$5:BI63)</f>
        <v>0.35300762669611035</v>
      </c>
      <c r="BK63" s="112">
        <f>1 - Audit[[#This Row],[K-M P Value]]</f>
        <v>0.64699237330388959</v>
      </c>
      <c r="BL63" s="114" t="str">
        <f>IF(Audit[[#This Row],[K-M P Value]]&gt;1-'General Info'!$B$12,"Continue", "Stop")</f>
        <v>Continue</v>
      </c>
      <c r="BM63" s="113" t="b">
        <f>IF(Audit[[#This Row],[Status - Continue or stop audit]] = "Continue", TRUE, IF(BL62 = "Continue", TRUE, FALSE))</f>
        <v>1</v>
      </c>
      <c r="BN63" s="113"/>
    </row>
    <row r="64" spans="1:66" ht="15" hidden="1" customHeight="1" x14ac:dyDescent="0.35">
      <c r="A64" s="114" t="str">
        <f>'Sampling Data'!AI64</f>
        <v/>
      </c>
      <c r="B64" s="114" t="str">
        <f>'Sampling Data'!A64</f>
        <v>0709 CIN 7-I   (AV)</v>
      </c>
      <c r="C64" s="114">
        <f>'Sampling Data'!B64</f>
        <v>34</v>
      </c>
      <c r="D64" s="114">
        <f>'Sampling Data'!C64</f>
        <v>6</v>
      </c>
      <c r="E64" s="115">
        <f>'Sampling Data'!D64</f>
        <v>0</v>
      </c>
      <c r="F64" s="115">
        <f>'Sampling Data'!E64</f>
        <v>0</v>
      </c>
      <c r="G64" s="115">
        <f>'Sampling Data'!F64</f>
        <v>0</v>
      </c>
      <c r="H64" s="115">
        <f>'Sampling Data'!G64</f>
        <v>0</v>
      </c>
      <c r="I64" s="115">
        <f>'Sampling Data'!H64</f>
        <v>0</v>
      </c>
      <c r="J64" s="115">
        <f>'Sampling Data'!I64</f>
        <v>0</v>
      </c>
      <c r="K64" s="115">
        <f>'Sampling Data'!J64</f>
        <v>0</v>
      </c>
      <c r="L64" s="115">
        <f>'Sampling Data'!K64</f>
        <v>0</v>
      </c>
      <c r="M64" s="115">
        <f>'Sampling Data'!L64</f>
        <v>0</v>
      </c>
      <c r="N64" s="115">
        <f>'Sampling Data'!M64</f>
        <v>0</v>
      </c>
      <c r="O64" s="114">
        <f>'Sampling Data'!N64</f>
        <v>0</v>
      </c>
      <c r="P64" s="114">
        <f>'Sampling Data'!O64</f>
        <v>0</v>
      </c>
      <c r="Q64" s="114">
        <f>'Sampling Data'!P64</f>
        <v>40</v>
      </c>
      <c r="R64" s="114">
        <f>'Sampling Data'!AJ64</f>
        <v>0</v>
      </c>
      <c r="S64" s="116"/>
      <c r="T64" s="116"/>
      <c r="U64" s="117"/>
      <c r="V64" s="117"/>
      <c r="W64" s="116"/>
      <c r="X64" s="116"/>
      <c r="Y64" s="116"/>
      <c r="Z64" s="116"/>
      <c r="AA64" s="15"/>
      <c r="AB64" s="15"/>
      <c r="AC64" s="15"/>
      <c r="AD64" s="15"/>
      <c r="AE64" s="118" t="str">
        <f>IF(NOT(ISBLANK(Audit[[#This Row],[Audit Winning Candidate]])), Audit[[#This Row],[Audit Winning Candidate]]-Audit[[#This Row],[Winning Candidate]], "")</f>
        <v/>
      </c>
      <c r="AF64" s="114" t="str">
        <f>IF(NOT(ISBLANK(Audit[[#This Row],[Audit Losing Candidate]])), Audit[[#This Row],[Audit Losing Candidate]]-Audit[[#This Row],[Losing Candidate]], "")</f>
        <v/>
      </c>
      <c r="AG64" s="114" t="str">
        <f>IF(NOT(ISBLANK(Audit[[#This Row],[Audit Candidate 3]])), Audit[[#This Row],[Audit Candidate 3]]-Audit[[#This Row],[Candidate 3]], "")</f>
        <v/>
      </c>
      <c r="AH64" s="114" t="str">
        <f>IF(NOT(ISBLANK(Audit[[#This Row],[Audit Candidate 4]])),Audit[[#This Row],[Audit Candidate 4]]-Audit[[#This Row],[Candidate 4]], "")</f>
        <v/>
      </c>
      <c r="AI64" s="114" t="str">
        <f>IF(NOT(ISBLANK(Audit[[#This Row],[Audit Candidate 5]])), Audit[[#This Row],[Audit Candidate 5]]-Audit[[#This Row],[Candidate 5]], "")</f>
        <v/>
      </c>
      <c r="AJ64" s="114" t="str">
        <f>IF(NOT(ISBLANK(Audit[[#This Row],[Audit Candidate 6]])), Audit[[#This Row],[Audit Candidate 6]]-Audit[[#This Row],[Candidate 6]], "")</f>
        <v/>
      </c>
      <c r="AK64" s="114" t="str">
        <f>IF(NOT(ISBLANK(Audit[[#This Row],[Audit Candidate 7]])), Audit[[#This Row],[Audit Candidate 7]]-Audit[[#This Row],[Candidate 7]], "")</f>
        <v/>
      </c>
      <c r="AL64" s="114" t="str">
        <f>IF(NOT(ISBLANK(Audit[[#This Row],[Audit Candidate 8]])), Audit[[#This Row],[Audit Candidate 8]]-Audit[[#This Row],[Candidate 8]], "")</f>
        <v/>
      </c>
      <c r="AM64" s="114" t="str">
        <f>IF(NOT(ISBLANK(Audit[[#This Row],[Audit Candidate 9]])), Audit[[#This Row],[Audit Candidate 9]]-Audit[[#This Row],[Candidate 9]], "")</f>
        <v/>
      </c>
      <c r="AN64" s="114" t="str">
        <f>IF(NOT(ISBLANK(Audit[[#This Row],[Audit Candidate 10]])), Audit[[#This Row],[Audit Candidate 10]]-Audit[[#This Row],[Candidate 10]], "")</f>
        <v/>
      </c>
      <c r="AO64" s="114" t="str">
        <f>IF(NOT(ISBLANK(Audit[[#This Row],[Audit Candidate 11]])), Audit[[#This Row],[Audit Candidate 11]]-Audit[[#This Row],[Candidate 11]], "")</f>
        <v/>
      </c>
      <c r="AP64" s="114" t="str">
        <f>IF(NOT(ISBLANK(Audit[[#This Row],[Audit Candidate 12]])), Audit[[#This Row],[Audit Candidate 12]]-Audit[[#This Row],[Candidate 12]], "")</f>
        <v/>
      </c>
      <c r="AQ64" s="114">
        <f>SUMIF(Audit[[#This Row],[Difference Winner]:[Difference Candidate 12]], "&gt;0")</f>
        <v>0</v>
      </c>
      <c r="AR64" s="114">
        <f>SUM(Audit[[#This Row],[Difference Winner]:[Difference Candidate 12]])</f>
        <v>0</v>
      </c>
      <c r="AS64" s="114">
        <f>IF(Audit[[#This Row],[Times p Drawn - With Replacement]]&gt;0, IF(Audit[[#This Row],[Canceled Differences]]&lt;0, Audit[[#This Row],[Max Differences]]+ABS(Audit[[#This Row],[Canceled Differences]]), Audit[[#This Row],[Max Differences]]), 0)</f>
        <v>0</v>
      </c>
      <c r="AT64" s="114">
        <f>'Sampling Data'!AB64</f>
        <v>4.2980848239681435E-3</v>
      </c>
      <c r="AU64" s="114">
        <f>IF(
      SUM(Audit[[#This Row],[Audit Losing Candidate]:[Audit Candidate 12]])
      &lt;&gt;0,
      (Audit[[#This Row],[Winning Candidate]]-Audit[[#This Row],[Losing Candidate]]-(Audit[[#This Row],[Audit Winning Candidate]]-Audit[[#This Row],[Audit Losing Candidate]]))/(Audit[[#Totals],[Winning Candidate]]-Audit[[#Totals],[Losing Candidate]]),
      0
)</f>
        <v>0</v>
      </c>
      <c r="AV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4" s="114">
        <f>IF(Audit[[#This Row],[Max Relative Error (ep)]] = 0, 0, Audit[[#This Row],[Max Relative Error (ep)]]/Audit[[#This Row],[Error Bound (up) - Max. possible relative overstatement]])</f>
        <v>0</v>
      </c>
      <c r="BH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4" s="114">
        <f t="shared" si="1"/>
        <v>1</v>
      </c>
      <c r="BJ64" s="114">
        <f>PRODUCT($BI$5:BI64)</f>
        <v>0.35300762669611035</v>
      </c>
      <c r="BK64" s="112">
        <f>1 - Audit[[#This Row],[K-M P Value]]</f>
        <v>0.64699237330388959</v>
      </c>
      <c r="BL64" s="114" t="str">
        <f>IF(Audit[[#This Row],[K-M P Value]]&gt;1-'General Info'!$B$12,"Continue", "Stop")</f>
        <v>Continue</v>
      </c>
      <c r="BM64" s="113" t="b">
        <f>IF(Audit[[#This Row],[Status - Continue or stop audit]] = "Continue", TRUE, IF(BL63 = "Continue", TRUE, FALSE))</f>
        <v>1</v>
      </c>
      <c r="BN64" s="113"/>
    </row>
    <row r="65" spans="1:66" ht="15" hidden="1" customHeight="1" x14ac:dyDescent="0.35">
      <c r="A65" s="114" t="str">
        <f>'Sampling Data'!AI65</f>
        <v/>
      </c>
      <c r="B65" s="114" t="str">
        <f>'Sampling Data'!A65</f>
        <v>0710 CIN 7-J   (AV)</v>
      </c>
      <c r="C65" s="114">
        <f>'Sampling Data'!B65</f>
        <v>22</v>
      </c>
      <c r="D65" s="114">
        <f>'Sampling Data'!C65</f>
        <v>8</v>
      </c>
      <c r="E65" s="115">
        <f>'Sampling Data'!D65</f>
        <v>4</v>
      </c>
      <c r="F65" s="115">
        <f>'Sampling Data'!E65</f>
        <v>0</v>
      </c>
      <c r="G65" s="115">
        <f>'Sampling Data'!F65</f>
        <v>0</v>
      </c>
      <c r="H65" s="115">
        <f>'Sampling Data'!G65</f>
        <v>0</v>
      </c>
      <c r="I65" s="115">
        <f>'Sampling Data'!H65</f>
        <v>0</v>
      </c>
      <c r="J65" s="115">
        <f>'Sampling Data'!I65</f>
        <v>0</v>
      </c>
      <c r="K65" s="115">
        <f>'Sampling Data'!J65</f>
        <v>0</v>
      </c>
      <c r="L65" s="115">
        <f>'Sampling Data'!K65</f>
        <v>0</v>
      </c>
      <c r="M65" s="115">
        <f>'Sampling Data'!L65</f>
        <v>0</v>
      </c>
      <c r="N65" s="115">
        <f>'Sampling Data'!M65</f>
        <v>0</v>
      </c>
      <c r="O65" s="114">
        <f>'Sampling Data'!N65</f>
        <v>0</v>
      </c>
      <c r="P65" s="114">
        <f>'Sampling Data'!O65</f>
        <v>1</v>
      </c>
      <c r="Q65" s="114">
        <f>'Sampling Data'!P65</f>
        <v>35</v>
      </c>
      <c r="R65" s="114">
        <f>'Sampling Data'!AJ65</f>
        <v>0</v>
      </c>
      <c r="S65" s="116"/>
      <c r="T65" s="116"/>
      <c r="U65" s="117"/>
      <c r="V65" s="117"/>
      <c r="W65" s="116"/>
      <c r="X65" s="116"/>
      <c r="Y65" s="116"/>
      <c r="Z65" s="116"/>
      <c r="AA65" s="15"/>
      <c r="AB65" s="15"/>
      <c r="AC65" s="15"/>
      <c r="AD65" s="15"/>
      <c r="AE65" s="118" t="str">
        <f>IF(NOT(ISBLANK(Audit[[#This Row],[Audit Winning Candidate]])), Audit[[#This Row],[Audit Winning Candidate]]-Audit[[#This Row],[Winning Candidate]], "")</f>
        <v/>
      </c>
      <c r="AF65" s="114" t="str">
        <f>IF(NOT(ISBLANK(Audit[[#This Row],[Audit Losing Candidate]])), Audit[[#This Row],[Audit Losing Candidate]]-Audit[[#This Row],[Losing Candidate]], "")</f>
        <v/>
      </c>
      <c r="AG65" s="114" t="str">
        <f>IF(NOT(ISBLANK(Audit[[#This Row],[Audit Candidate 3]])), Audit[[#This Row],[Audit Candidate 3]]-Audit[[#This Row],[Candidate 3]], "")</f>
        <v/>
      </c>
      <c r="AH65" s="114" t="str">
        <f>IF(NOT(ISBLANK(Audit[[#This Row],[Audit Candidate 4]])),Audit[[#This Row],[Audit Candidate 4]]-Audit[[#This Row],[Candidate 4]], "")</f>
        <v/>
      </c>
      <c r="AI65" s="114" t="str">
        <f>IF(NOT(ISBLANK(Audit[[#This Row],[Audit Candidate 5]])), Audit[[#This Row],[Audit Candidate 5]]-Audit[[#This Row],[Candidate 5]], "")</f>
        <v/>
      </c>
      <c r="AJ65" s="114" t="str">
        <f>IF(NOT(ISBLANK(Audit[[#This Row],[Audit Candidate 6]])), Audit[[#This Row],[Audit Candidate 6]]-Audit[[#This Row],[Candidate 6]], "")</f>
        <v/>
      </c>
      <c r="AK65" s="114" t="str">
        <f>IF(NOT(ISBLANK(Audit[[#This Row],[Audit Candidate 7]])), Audit[[#This Row],[Audit Candidate 7]]-Audit[[#This Row],[Candidate 7]], "")</f>
        <v/>
      </c>
      <c r="AL65" s="114" t="str">
        <f>IF(NOT(ISBLANK(Audit[[#This Row],[Audit Candidate 8]])), Audit[[#This Row],[Audit Candidate 8]]-Audit[[#This Row],[Candidate 8]], "")</f>
        <v/>
      </c>
      <c r="AM65" s="114" t="str">
        <f>IF(NOT(ISBLANK(Audit[[#This Row],[Audit Candidate 9]])), Audit[[#This Row],[Audit Candidate 9]]-Audit[[#This Row],[Candidate 9]], "")</f>
        <v/>
      </c>
      <c r="AN65" s="114" t="str">
        <f>IF(NOT(ISBLANK(Audit[[#This Row],[Audit Candidate 10]])), Audit[[#This Row],[Audit Candidate 10]]-Audit[[#This Row],[Candidate 10]], "")</f>
        <v/>
      </c>
      <c r="AO65" s="114" t="str">
        <f>IF(NOT(ISBLANK(Audit[[#This Row],[Audit Candidate 11]])), Audit[[#This Row],[Audit Candidate 11]]-Audit[[#This Row],[Candidate 11]], "")</f>
        <v/>
      </c>
      <c r="AP65" s="114" t="str">
        <f>IF(NOT(ISBLANK(Audit[[#This Row],[Audit Candidate 12]])), Audit[[#This Row],[Audit Candidate 12]]-Audit[[#This Row],[Candidate 12]], "")</f>
        <v/>
      </c>
      <c r="AQ65" s="114">
        <f>SUMIF(Audit[[#This Row],[Difference Winner]:[Difference Candidate 12]], "&gt;0")</f>
        <v>0</v>
      </c>
      <c r="AR65" s="114">
        <f>SUM(Audit[[#This Row],[Difference Winner]:[Difference Candidate 12]])</f>
        <v>0</v>
      </c>
      <c r="AS65" s="114">
        <f>IF(Audit[[#This Row],[Times p Drawn - With Replacement]]&gt;0, IF(Audit[[#This Row],[Canceled Differences]]&lt;0, Audit[[#This Row],[Max Differences]]+ABS(Audit[[#This Row],[Canceled Differences]]), Audit[[#This Row],[Max Differences]]), 0)</f>
        <v>0</v>
      </c>
      <c r="AT65" s="114">
        <f>'Sampling Data'!AB65</f>
        <v>3.0971493584476327E-3</v>
      </c>
      <c r="AU65" s="114">
        <f>IF(
      SUM(Audit[[#This Row],[Audit Losing Candidate]:[Audit Candidate 12]])
      &lt;&gt;0,
      (Audit[[#This Row],[Winning Candidate]]-Audit[[#This Row],[Losing Candidate]]-(Audit[[#This Row],[Audit Winning Candidate]]-Audit[[#This Row],[Audit Losing Candidate]]))/(Audit[[#Totals],[Winning Candidate]]-Audit[[#Totals],[Losing Candidate]]),
      0
)</f>
        <v>0</v>
      </c>
      <c r="AV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5" s="114">
        <f>IF(Audit[[#This Row],[Max Relative Error (ep)]] = 0, 0, Audit[[#This Row],[Max Relative Error (ep)]]/Audit[[#This Row],[Error Bound (up) - Max. possible relative overstatement]])</f>
        <v>0</v>
      </c>
      <c r="BH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5" s="114">
        <f t="shared" si="1"/>
        <v>1</v>
      </c>
      <c r="BJ65" s="114">
        <f>PRODUCT($BI$5:BI65)</f>
        <v>0.35300762669611035</v>
      </c>
      <c r="BK65" s="112">
        <f>1 - Audit[[#This Row],[K-M P Value]]</f>
        <v>0.64699237330388959</v>
      </c>
      <c r="BL65" s="114" t="str">
        <f>IF(Audit[[#This Row],[K-M P Value]]&gt;1-'General Info'!$B$12,"Continue", "Stop")</f>
        <v>Continue</v>
      </c>
      <c r="BM65" s="113" t="b">
        <f>IF(Audit[[#This Row],[Status - Continue or stop audit]] = "Continue", TRUE, IF(BL64 = "Continue", TRUE, FALSE))</f>
        <v>1</v>
      </c>
      <c r="BN65" s="113"/>
    </row>
    <row r="66" spans="1:66" ht="15" hidden="1" customHeight="1" x14ac:dyDescent="0.35">
      <c r="A66" s="114" t="str">
        <f>'Sampling Data'!AI66</f>
        <v/>
      </c>
      <c r="B66" s="114" t="str">
        <f>'Sampling Data'!A66</f>
        <v>0711 CIN 7-K   (AV)</v>
      </c>
      <c r="C66" s="114">
        <f>'Sampling Data'!B66</f>
        <v>20</v>
      </c>
      <c r="D66" s="114">
        <f>'Sampling Data'!C66</f>
        <v>2</v>
      </c>
      <c r="E66" s="115">
        <f>'Sampling Data'!D66</f>
        <v>0</v>
      </c>
      <c r="F66" s="115">
        <f>'Sampling Data'!E66</f>
        <v>0</v>
      </c>
      <c r="G66" s="115">
        <f>'Sampling Data'!F66</f>
        <v>0</v>
      </c>
      <c r="H66" s="115">
        <f>'Sampling Data'!G66</f>
        <v>0</v>
      </c>
      <c r="I66" s="115">
        <f>'Sampling Data'!H66</f>
        <v>0</v>
      </c>
      <c r="J66" s="115">
        <f>'Sampling Data'!I66</f>
        <v>0</v>
      </c>
      <c r="K66" s="115">
        <f>'Sampling Data'!J66</f>
        <v>0</v>
      </c>
      <c r="L66" s="115">
        <f>'Sampling Data'!K66</f>
        <v>0</v>
      </c>
      <c r="M66" s="115">
        <f>'Sampling Data'!L66</f>
        <v>0</v>
      </c>
      <c r="N66" s="115">
        <f>'Sampling Data'!M66</f>
        <v>0</v>
      </c>
      <c r="O66" s="114">
        <f>'Sampling Data'!N66</f>
        <v>0</v>
      </c>
      <c r="P66" s="114">
        <f>'Sampling Data'!O66</f>
        <v>0</v>
      </c>
      <c r="Q66" s="114">
        <f>'Sampling Data'!P66</f>
        <v>22</v>
      </c>
      <c r="R66" s="114">
        <f>'Sampling Data'!AJ66</f>
        <v>0</v>
      </c>
      <c r="S66" s="116"/>
      <c r="T66" s="116"/>
      <c r="U66" s="117"/>
      <c r="V66" s="117"/>
      <c r="W66" s="116"/>
      <c r="X66" s="116"/>
      <c r="Y66" s="116"/>
      <c r="Z66" s="116"/>
      <c r="AA66" s="15"/>
      <c r="AB66" s="15"/>
      <c r="AC66" s="15"/>
      <c r="AD66" s="15"/>
      <c r="AE66" s="118" t="str">
        <f>IF(NOT(ISBLANK(Audit[[#This Row],[Audit Winning Candidate]])), Audit[[#This Row],[Audit Winning Candidate]]-Audit[[#This Row],[Winning Candidate]], "")</f>
        <v/>
      </c>
      <c r="AF66" s="114" t="str">
        <f>IF(NOT(ISBLANK(Audit[[#This Row],[Audit Losing Candidate]])), Audit[[#This Row],[Audit Losing Candidate]]-Audit[[#This Row],[Losing Candidate]], "")</f>
        <v/>
      </c>
      <c r="AG66" s="114" t="str">
        <f>IF(NOT(ISBLANK(Audit[[#This Row],[Audit Candidate 3]])), Audit[[#This Row],[Audit Candidate 3]]-Audit[[#This Row],[Candidate 3]], "")</f>
        <v/>
      </c>
      <c r="AH66" s="114" t="str">
        <f>IF(NOT(ISBLANK(Audit[[#This Row],[Audit Candidate 4]])),Audit[[#This Row],[Audit Candidate 4]]-Audit[[#This Row],[Candidate 4]], "")</f>
        <v/>
      </c>
      <c r="AI66" s="114" t="str">
        <f>IF(NOT(ISBLANK(Audit[[#This Row],[Audit Candidate 5]])), Audit[[#This Row],[Audit Candidate 5]]-Audit[[#This Row],[Candidate 5]], "")</f>
        <v/>
      </c>
      <c r="AJ66" s="114" t="str">
        <f>IF(NOT(ISBLANK(Audit[[#This Row],[Audit Candidate 6]])), Audit[[#This Row],[Audit Candidate 6]]-Audit[[#This Row],[Candidate 6]], "")</f>
        <v/>
      </c>
      <c r="AK66" s="114" t="str">
        <f>IF(NOT(ISBLANK(Audit[[#This Row],[Audit Candidate 7]])), Audit[[#This Row],[Audit Candidate 7]]-Audit[[#This Row],[Candidate 7]], "")</f>
        <v/>
      </c>
      <c r="AL66" s="114" t="str">
        <f>IF(NOT(ISBLANK(Audit[[#This Row],[Audit Candidate 8]])), Audit[[#This Row],[Audit Candidate 8]]-Audit[[#This Row],[Candidate 8]], "")</f>
        <v/>
      </c>
      <c r="AM66" s="114" t="str">
        <f>IF(NOT(ISBLANK(Audit[[#This Row],[Audit Candidate 9]])), Audit[[#This Row],[Audit Candidate 9]]-Audit[[#This Row],[Candidate 9]], "")</f>
        <v/>
      </c>
      <c r="AN66" s="114" t="str">
        <f>IF(NOT(ISBLANK(Audit[[#This Row],[Audit Candidate 10]])), Audit[[#This Row],[Audit Candidate 10]]-Audit[[#This Row],[Candidate 10]], "")</f>
        <v/>
      </c>
      <c r="AO66" s="114" t="str">
        <f>IF(NOT(ISBLANK(Audit[[#This Row],[Audit Candidate 11]])), Audit[[#This Row],[Audit Candidate 11]]-Audit[[#This Row],[Candidate 11]], "")</f>
        <v/>
      </c>
      <c r="AP66" s="114" t="str">
        <f>IF(NOT(ISBLANK(Audit[[#This Row],[Audit Candidate 12]])), Audit[[#This Row],[Audit Candidate 12]]-Audit[[#This Row],[Candidate 12]], "")</f>
        <v/>
      </c>
      <c r="AQ66" s="114">
        <f>SUMIF(Audit[[#This Row],[Difference Winner]:[Difference Candidate 12]], "&gt;0")</f>
        <v>0</v>
      </c>
      <c r="AR66" s="114">
        <f>SUM(Audit[[#This Row],[Difference Winner]:[Difference Candidate 12]])</f>
        <v>0</v>
      </c>
      <c r="AS66" s="114">
        <f>IF(Audit[[#This Row],[Times p Drawn - With Replacement]]&gt;0, IF(Audit[[#This Row],[Canceled Differences]]&lt;0, Audit[[#This Row],[Max Differences]]+ABS(Audit[[#This Row],[Canceled Differences]]), Audit[[#This Row],[Max Differences]]), 0)</f>
        <v>0</v>
      </c>
      <c r="AT66" s="114">
        <f>'Sampling Data'!AB66</f>
        <v>2.5282851905694963E-3</v>
      </c>
      <c r="AU66" s="114">
        <f>IF(
      SUM(Audit[[#This Row],[Audit Losing Candidate]:[Audit Candidate 12]])
      &lt;&gt;0,
      (Audit[[#This Row],[Winning Candidate]]-Audit[[#This Row],[Losing Candidate]]-(Audit[[#This Row],[Audit Winning Candidate]]-Audit[[#This Row],[Audit Losing Candidate]]))/(Audit[[#Totals],[Winning Candidate]]-Audit[[#Totals],[Losing Candidate]]),
      0
)</f>
        <v>0</v>
      </c>
      <c r="AV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6" s="114">
        <f>IF(Audit[[#This Row],[Max Relative Error (ep)]] = 0, 0, Audit[[#This Row],[Max Relative Error (ep)]]/Audit[[#This Row],[Error Bound (up) - Max. possible relative overstatement]])</f>
        <v>0</v>
      </c>
      <c r="BH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6" s="114">
        <f t="shared" si="1"/>
        <v>1</v>
      </c>
      <c r="BJ66" s="114">
        <f>PRODUCT($BI$5:BI66)</f>
        <v>0.35300762669611035</v>
      </c>
      <c r="BK66" s="112">
        <f>1 - Audit[[#This Row],[K-M P Value]]</f>
        <v>0.64699237330388959</v>
      </c>
      <c r="BL66" s="114" t="str">
        <f>IF(Audit[[#This Row],[K-M P Value]]&gt;1-'General Info'!$B$12,"Continue", "Stop")</f>
        <v>Continue</v>
      </c>
      <c r="BM66" s="113" t="b">
        <f>IF(Audit[[#This Row],[Status - Continue or stop audit]] = "Continue", TRUE, IF(BL65 = "Continue", TRUE, FALSE))</f>
        <v>1</v>
      </c>
      <c r="BN66" s="113"/>
    </row>
    <row r="67" spans="1:66" ht="15" hidden="1" customHeight="1" x14ac:dyDescent="0.35">
      <c r="A67" s="114" t="str">
        <f>'Sampling Data'!AI67</f>
        <v/>
      </c>
      <c r="B67" s="114" t="str">
        <f>'Sampling Data'!A67</f>
        <v>0801 CIN 8-A   (AV)</v>
      </c>
      <c r="C67" s="114">
        <f>'Sampling Data'!B67</f>
        <v>29</v>
      </c>
      <c r="D67" s="114">
        <f>'Sampling Data'!C67</f>
        <v>2</v>
      </c>
      <c r="E67" s="115">
        <f>'Sampling Data'!D67</f>
        <v>0</v>
      </c>
      <c r="F67" s="115">
        <f>'Sampling Data'!E67</f>
        <v>0</v>
      </c>
      <c r="G67" s="115">
        <f>'Sampling Data'!F67</f>
        <v>0</v>
      </c>
      <c r="H67" s="115">
        <f>'Sampling Data'!G67</f>
        <v>0</v>
      </c>
      <c r="I67" s="115">
        <f>'Sampling Data'!H67</f>
        <v>0</v>
      </c>
      <c r="J67" s="115">
        <f>'Sampling Data'!I67</f>
        <v>0</v>
      </c>
      <c r="K67" s="115">
        <f>'Sampling Data'!J67</f>
        <v>0</v>
      </c>
      <c r="L67" s="115">
        <f>'Sampling Data'!K67</f>
        <v>0</v>
      </c>
      <c r="M67" s="115">
        <f>'Sampling Data'!L67</f>
        <v>0</v>
      </c>
      <c r="N67" s="115">
        <f>'Sampling Data'!M67</f>
        <v>0</v>
      </c>
      <c r="O67" s="114">
        <f>'Sampling Data'!N67</f>
        <v>0</v>
      </c>
      <c r="P67" s="114">
        <f>'Sampling Data'!O67</f>
        <v>0</v>
      </c>
      <c r="Q67" s="114">
        <f>'Sampling Data'!P67</f>
        <v>31</v>
      </c>
      <c r="R67" s="114">
        <f>'Sampling Data'!AJ67</f>
        <v>0</v>
      </c>
      <c r="S67" s="116"/>
      <c r="T67" s="116"/>
      <c r="U67" s="117"/>
      <c r="V67" s="117"/>
      <c r="W67" s="116"/>
      <c r="X67" s="116"/>
      <c r="Y67" s="116"/>
      <c r="Z67" s="116"/>
      <c r="AA67" s="15"/>
      <c r="AB67" s="15"/>
      <c r="AC67" s="15"/>
      <c r="AD67" s="15"/>
      <c r="AE67" s="118" t="str">
        <f>IF(NOT(ISBLANK(Audit[[#This Row],[Audit Winning Candidate]])), Audit[[#This Row],[Audit Winning Candidate]]-Audit[[#This Row],[Winning Candidate]], "")</f>
        <v/>
      </c>
      <c r="AF67" s="114" t="str">
        <f>IF(NOT(ISBLANK(Audit[[#This Row],[Audit Losing Candidate]])), Audit[[#This Row],[Audit Losing Candidate]]-Audit[[#This Row],[Losing Candidate]], "")</f>
        <v/>
      </c>
      <c r="AG67" s="114" t="str">
        <f>IF(NOT(ISBLANK(Audit[[#This Row],[Audit Candidate 3]])), Audit[[#This Row],[Audit Candidate 3]]-Audit[[#This Row],[Candidate 3]], "")</f>
        <v/>
      </c>
      <c r="AH67" s="114" t="str">
        <f>IF(NOT(ISBLANK(Audit[[#This Row],[Audit Candidate 4]])),Audit[[#This Row],[Audit Candidate 4]]-Audit[[#This Row],[Candidate 4]], "")</f>
        <v/>
      </c>
      <c r="AI67" s="114" t="str">
        <f>IF(NOT(ISBLANK(Audit[[#This Row],[Audit Candidate 5]])), Audit[[#This Row],[Audit Candidate 5]]-Audit[[#This Row],[Candidate 5]], "")</f>
        <v/>
      </c>
      <c r="AJ67" s="114" t="str">
        <f>IF(NOT(ISBLANK(Audit[[#This Row],[Audit Candidate 6]])), Audit[[#This Row],[Audit Candidate 6]]-Audit[[#This Row],[Candidate 6]], "")</f>
        <v/>
      </c>
      <c r="AK67" s="114" t="str">
        <f>IF(NOT(ISBLANK(Audit[[#This Row],[Audit Candidate 7]])), Audit[[#This Row],[Audit Candidate 7]]-Audit[[#This Row],[Candidate 7]], "")</f>
        <v/>
      </c>
      <c r="AL67" s="114" t="str">
        <f>IF(NOT(ISBLANK(Audit[[#This Row],[Audit Candidate 8]])), Audit[[#This Row],[Audit Candidate 8]]-Audit[[#This Row],[Candidate 8]], "")</f>
        <v/>
      </c>
      <c r="AM67" s="114" t="str">
        <f>IF(NOT(ISBLANK(Audit[[#This Row],[Audit Candidate 9]])), Audit[[#This Row],[Audit Candidate 9]]-Audit[[#This Row],[Candidate 9]], "")</f>
        <v/>
      </c>
      <c r="AN67" s="114" t="str">
        <f>IF(NOT(ISBLANK(Audit[[#This Row],[Audit Candidate 10]])), Audit[[#This Row],[Audit Candidate 10]]-Audit[[#This Row],[Candidate 10]], "")</f>
        <v/>
      </c>
      <c r="AO67" s="114" t="str">
        <f>IF(NOT(ISBLANK(Audit[[#This Row],[Audit Candidate 11]])), Audit[[#This Row],[Audit Candidate 11]]-Audit[[#This Row],[Candidate 11]], "")</f>
        <v/>
      </c>
      <c r="AP67" s="114" t="str">
        <f>IF(NOT(ISBLANK(Audit[[#This Row],[Audit Candidate 12]])), Audit[[#This Row],[Audit Candidate 12]]-Audit[[#This Row],[Candidate 12]], "")</f>
        <v/>
      </c>
      <c r="AQ67" s="114">
        <f>SUMIF(Audit[[#This Row],[Difference Winner]:[Difference Candidate 12]], "&gt;0")</f>
        <v>0</v>
      </c>
      <c r="AR67" s="114">
        <f>SUM(Audit[[#This Row],[Difference Winner]:[Difference Candidate 12]])</f>
        <v>0</v>
      </c>
      <c r="AS67" s="114">
        <f>IF(Audit[[#This Row],[Times p Drawn - With Replacement]]&gt;0, IF(Audit[[#This Row],[Canceled Differences]]&lt;0, Audit[[#This Row],[Max Differences]]+ABS(Audit[[#This Row],[Canceled Differences]]), Audit[[#This Row],[Max Differences]]), 0)</f>
        <v>0</v>
      </c>
      <c r="AT67" s="114">
        <f>'Sampling Data'!AB67</f>
        <v>3.6660135263257695E-3</v>
      </c>
      <c r="AU67" s="114">
        <f>IF(
      SUM(Audit[[#This Row],[Audit Losing Candidate]:[Audit Candidate 12]])
      &lt;&gt;0,
      (Audit[[#This Row],[Winning Candidate]]-Audit[[#This Row],[Losing Candidate]]-(Audit[[#This Row],[Audit Winning Candidate]]-Audit[[#This Row],[Audit Losing Candidate]]))/(Audit[[#Totals],[Winning Candidate]]-Audit[[#Totals],[Losing Candidate]]),
      0
)</f>
        <v>0</v>
      </c>
      <c r="AV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7" s="114">
        <f>IF(Audit[[#This Row],[Max Relative Error (ep)]] = 0, 0, Audit[[#This Row],[Max Relative Error (ep)]]/Audit[[#This Row],[Error Bound (up) - Max. possible relative overstatement]])</f>
        <v>0</v>
      </c>
      <c r="BH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7" s="114">
        <f t="shared" si="1"/>
        <v>1</v>
      </c>
      <c r="BJ67" s="114">
        <f>PRODUCT($BI$5:BI67)</f>
        <v>0.35300762669611035</v>
      </c>
      <c r="BK67" s="112">
        <f>1 - Audit[[#This Row],[K-M P Value]]</f>
        <v>0.64699237330388959</v>
      </c>
      <c r="BL67" s="114" t="str">
        <f>IF(Audit[[#This Row],[K-M P Value]]&gt;1-'General Info'!$B$12,"Continue", "Stop")</f>
        <v>Continue</v>
      </c>
      <c r="BM67" s="113" t="b">
        <f>IF(Audit[[#This Row],[Status - Continue or stop audit]] = "Continue", TRUE, IF(BL66 = "Continue", TRUE, FALSE))</f>
        <v>1</v>
      </c>
      <c r="BN67" s="113"/>
    </row>
    <row r="68" spans="1:66" ht="15" hidden="1" customHeight="1" x14ac:dyDescent="0.35">
      <c r="A68" s="114" t="str">
        <f>'Sampling Data'!AI68</f>
        <v/>
      </c>
      <c r="B68" s="114" t="str">
        <f>'Sampling Data'!A68</f>
        <v>0802 CIN 8-B   (AV)</v>
      </c>
      <c r="C68" s="114">
        <f>'Sampling Data'!B68</f>
        <v>36</v>
      </c>
      <c r="D68" s="114">
        <f>'Sampling Data'!C68</f>
        <v>1</v>
      </c>
      <c r="E68" s="115">
        <f>'Sampling Data'!D68</f>
        <v>2</v>
      </c>
      <c r="F68" s="115">
        <f>'Sampling Data'!E68</f>
        <v>0</v>
      </c>
      <c r="G68" s="115">
        <f>'Sampling Data'!F68</f>
        <v>0</v>
      </c>
      <c r="H68" s="115">
        <f>'Sampling Data'!G68</f>
        <v>0</v>
      </c>
      <c r="I68" s="115">
        <f>'Sampling Data'!H68</f>
        <v>0</v>
      </c>
      <c r="J68" s="115">
        <f>'Sampling Data'!I68</f>
        <v>0</v>
      </c>
      <c r="K68" s="115">
        <f>'Sampling Data'!J68</f>
        <v>0</v>
      </c>
      <c r="L68" s="115">
        <f>'Sampling Data'!K68</f>
        <v>0</v>
      </c>
      <c r="M68" s="115">
        <f>'Sampling Data'!L68</f>
        <v>0</v>
      </c>
      <c r="N68" s="115">
        <f>'Sampling Data'!M68</f>
        <v>0</v>
      </c>
      <c r="O68" s="114">
        <f>'Sampling Data'!N68</f>
        <v>0</v>
      </c>
      <c r="P68" s="114">
        <f>'Sampling Data'!O68</f>
        <v>0</v>
      </c>
      <c r="Q68" s="114">
        <f>'Sampling Data'!P68</f>
        <v>39</v>
      </c>
      <c r="R68" s="114">
        <f>'Sampling Data'!AJ68</f>
        <v>0</v>
      </c>
      <c r="S68" s="116"/>
      <c r="T68" s="116"/>
      <c r="U68" s="117"/>
      <c r="V68" s="117"/>
      <c r="W68" s="116"/>
      <c r="X68" s="116"/>
      <c r="Y68" s="116"/>
      <c r="Z68" s="116"/>
      <c r="AA68" s="15"/>
      <c r="AB68" s="15"/>
      <c r="AC68" s="15"/>
      <c r="AD68" s="15"/>
      <c r="AE68" s="118" t="str">
        <f>IF(NOT(ISBLANK(Audit[[#This Row],[Audit Winning Candidate]])), Audit[[#This Row],[Audit Winning Candidate]]-Audit[[#This Row],[Winning Candidate]], "")</f>
        <v/>
      </c>
      <c r="AF68" s="114" t="str">
        <f>IF(NOT(ISBLANK(Audit[[#This Row],[Audit Losing Candidate]])), Audit[[#This Row],[Audit Losing Candidate]]-Audit[[#This Row],[Losing Candidate]], "")</f>
        <v/>
      </c>
      <c r="AG68" s="114" t="str">
        <f>IF(NOT(ISBLANK(Audit[[#This Row],[Audit Candidate 3]])), Audit[[#This Row],[Audit Candidate 3]]-Audit[[#This Row],[Candidate 3]], "")</f>
        <v/>
      </c>
      <c r="AH68" s="114" t="str">
        <f>IF(NOT(ISBLANK(Audit[[#This Row],[Audit Candidate 4]])),Audit[[#This Row],[Audit Candidate 4]]-Audit[[#This Row],[Candidate 4]], "")</f>
        <v/>
      </c>
      <c r="AI68" s="114" t="str">
        <f>IF(NOT(ISBLANK(Audit[[#This Row],[Audit Candidate 5]])), Audit[[#This Row],[Audit Candidate 5]]-Audit[[#This Row],[Candidate 5]], "")</f>
        <v/>
      </c>
      <c r="AJ68" s="114" t="str">
        <f>IF(NOT(ISBLANK(Audit[[#This Row],[Audit Candidate 6]])), Audit[[#This Row],[Audit Candidate 6]]-Audit[[#This Row],[Candidate 6]], "")</f>
        <v/>
      </c>
      <c r="AK68" s="114" t="str">
        <f>IF(NOT(ISBLANK(Audit[[#This Row],[Audit Candidate 7]])), Audit[[#This Row],[Audit Candidate 7]]-Audit[[#This Row],[Candidate 7]], "")</f>
        <v/>
      </c>
      <c r="AL68" s="114" t="str">
        <f>IF(NOT(ISBLANK(Audit[[#This Row],[Audit Candidate 8]])), Audit[[#This Row],[Audit Candidate 8]]-Audit[[#This Row],[Candidate 8]], "")</f>
        <v/>
      </c>
      <c r="AM68" s="114" t="str">
        <f>IF(NOT(ISBLANK(Audit[[#This Row],[Audit Candidate 9]])), Audit[[#This Row],[Audit Candidate 9]]-Audit[[#This Row],[Candidate 9]], "")</f>
        <v/>
      </c>
      <c r="AN68" s="114" t="str">
        <f>IF(NOT(ISBLANK(Audit[[#This Row],[Audit Candidate 10]])), Audit[[#This Row],[Audit Candidate 10]]-Audit[[#This Row],[Candidate 10]], "")</f>
        <v/>
      </c>
      <c r="AO68" s="114" t="str">
        <f>IF(NOT(ISBLANK(Audit[[#This Row],[Audit Candidate 11]])), Audit[[#This Row],[Audit Candidate 11]]-Audit[[#This Row],[Candidate 11]], "")</f>
        <v/>
      </c>
      <c r="AP68" s="114" t="str">
        <f>IF(NOT(ISBLANK(Audit[[#This Row],[Audit Candidate 12]])), Audit[[#This Row],[Audit Candidate 12]]-Audit[[#This Row],[Candidate 12]], "")</f>
        <v/>
      </c>
      <c r="AQ68" s="114">
        <f>SUMIF(Audit[[#This Row],[Difference Winner]:[Difference Candidate 12]], "&gt;0")</f>
        <v>0</v>
      </c>
      <c r="AR68" s="114">
        <f>SUM(Audit[[#This Row],[Difference Winner]:[Difference Candidate 12]])</f>
        <v>0</v>
      </c>
      <c r="AS68" s="114">
        <f>IF(Audit[[#This Row],[Times p Drawn - With Replacement]]&gt;0, IF(Audit[[#This Row],[Canceled Differences]]&lt;0, Audit[[#This Row],[Max Differences]]+ABS(Audit[[#This Row],[Canceled Differences]]), Audit[[#This Row],[Max Differences]]), 0)</f>
        <v>0</v>
      </c>
      <c r="AT68" s="114">
        <f>'Sampling Data'!AB68</f>
        <v>4.677327602553568E-3</v>
      </c>
      <c r="AU68" s="114">
        <f>IF(
      SUM(Audit[[#This Row],[Audit Losing Candidate]:[Audit Candidate 12]])
      &lt;&gt;0,
      (Audit[[#This Row],[Winning Candidate]]-Audit[[#This Row],[Losing Candidate]]-(Audit[[#This Row],[Audit Winning Candidate]]-Audit[[#This Row],[Audit Losing Candidate]]))/(Audit[[#Totals],[Winning Candidate]]-Audit[[#Totals],[Losing Candidate]]),
      0
)</f>
        <v>0</v>
      </c>
      <c r="AV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8" s="114">
        <f>IF(Audit[[#This Row],[Max Relative Error (ep)]] = 0, 0, Audit[[#This Row],[Max Relative Error (ep)]]/Audit[[#This Row],[Error Bound (up) - Max. possible relative overstatement]])</f>
        <v>0</v>
      </c>
      <c r="BH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8" s="114">
        <f t="shared" si="1"/>
        <v>1</v>
      </c>
      <c r="BJ68" s="114">
        <f>PRODUCT($BI$5:BI68)</f>
        <v>0.35300762669611035</v>
      </c>
      <c r="BK68" s="112">
        <f>1 - Audit[[#This Row],[K-M P Value]]</f>
        <v>0.64699237330388959</v>
      </c>
      <c r="BL68" s="114" t="str">
        <f>IF(Audit[[#This Row],[K-M P Value]]&gt;1-'General Info'!$B$12,"Continue", "Stop")</f>
        <v>Continue</v>
      </c>
      <c r="BM68" s="113" t="b">
        <f>IF(Audit[[#This Row],[Status - Continue or stop audit]] = "Continue", TRUE, IF(BL67 = "Continue", TRUE, FALSE))</f>
        <v>1</v>
      </c>
      <c r="BN68" s="113"/>
    </row>
    <row r="69" spans="1:66" ht="15" hidden="1" customHeight="1" x14ac:dyDescent="0.35">
      <c r="A69" s="114" t="str">
        <f>'Sampling Data'!AI69</f>
        <v/>
      </c>
      <c r="B69" s="114" t="str">
        <f>'Sampling Data'!A69</f>
        <v>0803 CIN 8-C   (AV)</v>
      </c>
      <c r="C69" s="114">
        <f>'Sampling Data'!B69</f>
        <v>45</v>
      </c>
      <c r="D69" s="114">
        <f>'Sampling Data'!C69</f>
        <v>14</v>
      </c>
      <c r="E69" s="115">
        <f>'Sampling Data'!D69</f>
        <v>8</v>
      </c>
      <c r="F69" s="115">
        <f>'Sampling Data'!E69</f>
        <v>0</v>
      </c>
      <c r="G69" s="115">
        <f>'Sampling Data'!F69</f>
        <v>0</v>
      </c>
      <c r="H69" s="115">
        <f>'Sampling Data'!G69</f>
        <v>0</v>
      </c>
      <c r="I69" s="115">
        <f>'Sampling Data'!H69</f>
        <v>0</v>
      </c>
      <c r="J69" s="115">
        <f>'Sampling Data'!I69</f>
        <v>0</v>
      </c>
      <c r="K69" s="115">
        <f>'Sampling Data'!J69</f>
        <v>0</v>
      </c>
      <c r="L69" s="115">
        <f>'Sampling Data'!K69</f>
        <v>0</v>
      </c>
      <c r="M69" s="115">
        <f>'Sampling Data'!L69</f>
        <v>0</v>
      </c>
      <c r="N69" s="115">
        <f>'Sampling Data'!M69</f>
        <v>0</v>
      </c>
      <c r="O69" s="114">
        <f>'Sampling Data'!N69</f>
        <v>0</v>
      </c>
      <c r="P69" s="114">
        <f>'Sampling Data'!O69</f>
        <v>0</v>
      </c>
      <c r="Q69" s="114">
        <f>'Sampling Data'!P69</f>
        <v>67</v>
      </c>
      <c r="R69" s="114">
        <f>'Sampling Data'!AJ69</f>
        <v>0</v>
      </c>
      <c r="S69" s="116"/>
      <c r="T69" s="116"/>
      <c r="U69" s="117"/>
      <c r="V69" s="117"/>
      <c r="W69" s="116"/>
      <c r="X69" s="116"/>
      <c r="Y69" s="116"/>
      <c r="Z69" s="116"/>
      <c r="AA69" s="15"/>
      <c r="AB69" s="15"/>
      <c r="AC69" s="15"/>
      <c r="AD69" s="15"/>
      <c r="AE69" s="118" t="str">
        <f>IF(NOT(ISBLANK(Audit[[#This Row],[Audit Winning Candidate]])), Audit[[#This Row],[Audit Winning Candidate]]-Audit[[#This Row],[Winning Candidate]], "")</f>
        <v/>
      </c>
      <c r="AF69" s="114" t="str">
        <f>IF(NOT(ISBLANK(Audit[[#This Row],[Audit Losing Candidate]])), Audit[[#This Row],[Audit Losing Candidate]]-Audit[[#This Row],[Losing Candidate]], "")</f>
        <v/>
      </c>
      <c r="AG69" s="114" t="str">
        <f>IF(NOT(ISBLANK(Audit[[#This Row],[Audit Candidate 3]])), Audit[[#This Row],[Audit Candidate 3]]-Audit[[#This Row],[Candidate 3]], "")</f>
        <v/>
      </c>
      <c r="AH69" s="114" t="str">
        <f>IF(NOT(ISBLANK(Audit[[#This Row],[Audit Candidate 4]])),Audit[[#This Row],[Audit Candidate 4]]-Audit[[#This Row],[Candidate 4]], "")</f>
        <v/>
      </c>
      <c r="AI69" s="114" t="str">
        <f>IF(NOT(ISBLANK(Audit[[#This Row],[Audit Candidate 5]])), Audit[[#This Row],[Audit Candidate 5]]-Audit[[#This Row],[Candidate 5]], "")</f>
        <v/>
      </c>
      <c r="AJ69" s="114" t="str">
        <f>IF(NOT(ISBLANK(Audit[[#This Row],[Audit Candidate 6]])), Audit[[#This Row],[Audit Candidate 6]]-Audit[[#This Row],[Candidate 6]], "")</f>
        <v/>
      </c>
      <c r="AK69" s="114" t="str">
        <f>IF(NOT(ISBLANK(Audit[[#This Row],[Audit Candidate 7]])), Audit[[#This Row],[Audit Candidate 7]]-Audit[[#This Row],[Candidate 7]], "")</f>
        <v/>
      </c>
      <c r="AL69" s="114" t="str">
        <f>IF(NOT(ISBLANK(Audit[[#This Row],[Audit Candidate 8]])), Audit[[#This Row],[Audit Candidate 8]]-Audit[[#This Row],[Candidate 8]], "")</f>
        <v/>
      </c>
      <c r="AM69" s="114" t="str">
        <f>IF(NOT(ISBLANK(Audit[[#This Row],[Audit Candidate 9]])), Audit[[#This Row],[Audit Candidate 9]]-Audit[[#This Row],[Candidate 9]], "")</f>
        <v/>
      </c>
      <c r="AN69" s="114" t="str">
        <f>IF(NOT(ISBLANK(Audit[[#This Row],[Audit Candidate 10]])), Audit[[#This Row],[Audit Candidate 10]]-Audit[[#This Row],[Candidate 10]], "")</f>
        <v/>
      </c>
      <c r="AO69" s="114" t="str">
        <f>IF(NOT(ISBLANK(Audit[[#This Row],[Audit Candidate 11]])), Audit[[#This Row],[Audit Candidate 11]]-Audit[[#This Row],[Candidate 11]], "")</f>
        <v/>
      </c>
      <c r="AP69" s="114" t="str">
        <f>IF(NOT(ISBLANK(Audit[[#This Row],[Audit Candidate 12]])), Audit[[#This Row],[Audit Candidate 12]]-Audit[[#This Row],[Candidate 12]], "")</f>
        <v/>
      </c>
      <c r="AQ69" s="114">
        <f>SUMIF(Audit[[#This Row],[Difference Winner]:[Difference Candidate 12]], "&gt;0")</f>
        <v>0</v>
      </c>
      <c r="AR69" s="114">
        <f>SUM(Audit[[#This Row],[Difference Winner]:[Difference Candidate 12]])</f>
        <v>0</v>
      </c>
      <c r="AS69" s="114">
        <f>IF(Audit[[#This Row],[Times p Drawn - With Replacement]]&gt;0, IF(Audit[[#This Row],[Canceled Differences]]&lt;0, Audit[[#This Row],[Max Differences]]+ABS(Audit[[#This Row],[Canceled Differences]]), Audit[[#This Row],[Max Differences]]), 0)</f>
        <v>0</v>
      </c>
      <c r="AT69" s="114">
        <f>'Sampling Data'!AB69</f>
        <v>6.1942987168952654E-3</v>
      </c>
      <c r="AU69" s="114">
        <f>IF(
      SUM(Audit[[#This Row],[Audit Losing Candidate]:[Audit Candidate 12]])
      &lt;&gt;0,
      (Audit[[#This Row],[Winning Candidate]]-Audit[[#This Row],[Losing Candidate]]-(Audit[[#This Row],[Audit Winning Candidate]]-Audit[[#This Row],[Audit Losing Candidate]]))/(Audit[[#Totals],[Winning Candidate]]-Audit[[#Totals],[Losing Candidate]]),
      0
)</f>
        <v>0</v>
      </c>
      <c r="AV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9" s="114">
        <f>IF(Audit[[#This Row],[Max Relative Error (ep)]] = 0, 0, Audit[[#This Row],[Max Relative Error (ep)]]/Audit[[#This Row],[Error Bound (up) - Max. possible relative overstatement]])</f>
        <v>0</v>
      </c>
      <c r="BH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69" s="114">
        <f t="shared" si="1"/>
        <v>1</v>
      </c>
      <c r="BJ69" s="114">
        <f>PRODUCT($BI$5:BI69)</f>
        <v>0.35300762669611035</v>
      </c>
      <c r="BK69" s="112">
        <f>1 - Audit[[#This Row],[K-M P Value]]</f>
        <v>0.64699237330388959</v>
      </c>
      <c r="BL69" s="114" t="str">
        <f>IF(Audit[[#This Row],[K-M P Value]]&gt;1-'General Info'!$B$12,"Continue", "Stop")</f>
        <v>Continue</v>
      </c>
      <c r="BM69" s="113" t="b">
        <f>IF(Audit[[#This Row],[Status - Continue or stop audit]] = "Continue", TRUE, IF(BL68 = "Continue", TRUE, FALSE))</f>
        <v>1</v>
      </c>
      <c r="BN69" s="113"/>
    </row>
    <row r="70" spans="1:66" ht="15" hidden="1" customHeight="1" x14ac:dyDescent="0.35">
      <c r="A70" s="114" t="str">
        <f>'Sampling Data'!AI70</f>
        <v/>
      </c>
      <c r="B70" s="114" t="str">
        <f>'Sampling Data'!A70</f>
        <v>0804 CIN 8-D   (AV)</v>
      </c>
      <c r="C70" s="114">
        <f>'Sampling Data'!B70</f>
        <v>17</v>
      </c>
      <c r="D70" s="114">
        <f>'Sampling Data'!C70</f>
        <v>3</v>
      </c>
      <c r="E70" s="115">
        <f>'Sampling Data'!D70</f>
        <v>0</v>
      </c>
      <c r="F70" s="115">
        <f>'Sampling Data'!E70</f>
        <v>0</v>
      </c>
      <c r="G70" s="115">
        <f>'Sampling Data'!F70</f>
        <v>0</v>
      </c>
      <c r="H70" s="115">
        <f>'Sampling Data'!G70</f>
        <v>0</v>
      </c>
      <c r="I70" s="115">
        <f>'Sampling Data'!H70</f>
        <v>0</v>
      </c>
      <c r="J70" s="115">
        <f>'Sampling Data'!I70</f>
        <v>0</v>
      </c>
      <c r="K70" s="115">
        <f>'Sampling Data'!J70</f>
        <v>0</v>
      </c>
      <c r="L70" s="115">
        <f>'Sampling Data'!K70</f>
        <v>0</v>
      </c>
      <c r="M70" s="115">
        <f>'Sampling Data'!L70</f>
        <v>0</v>
      </c>
      <c r="N70" s="115">
        <f>'Sampling Data'!M70</f>
        <v>0</v>
      </c>
      <c r="O70" s="114">
        <f>'Sampling Data'!N70</f>
        <v>0</v>
      </c>
      <c r="P70" s="114">
        <f>'Sampling Data'!O70</f>
        <v>1</v>
      </c>
      <c r="Q70" s="114">
        <f>'Sampling Data'!P70</f>
        <v>21</v>
      </c>
      <c r="R70" s="114">
        <f>'Sampling Data'!AJ70</f>
        <v>0</v>
      </c>
      <c r="S70" s="116"/>
      <c r="T70" s="116"/>
      <c r="U70" s="117"/>
      <c r="V70" s="117"/>
      <c r="W70" s="116"/>
      <c r="X70" s="116"/>
      <c r="Y70" s="116"/>
      <c r="Z70" s="116"/>
      <c r="AA70" s="15"/>
      <c r="AB70" s="15"/>
      <c r="AC70" s="15"/>
      <c r="AD70" s="15"/>
      <c r="AE70" s="118" t="str">
        <f>IF(NOT(ISBLANK(Audit[[#This Row],[Audit Winning Candidate]])), Audit[[#This Row],[Audit Winning Candidate]]-Audit[[#This Row],[Winning Candidate]], "")</f>
        <v/>
      </c>
      <c r="AF70" s="114" t="str">
        <f>IF(NOT(ISBLANK(Audit[[#This Row],[Audit Losing Candidate]])), Audit[[#This Row],[Audit Losing Candidate]]-Audit[[#This Row],[Losing Candidate]], "")</f>
        <v/>
      </c>
      <c r="AG70" s="114" t="str">
        <f>IF(NOT(ISBLANK(Audit[[#This Row],[Audit Candidate 3]])), Audit[[#This Row],[Audit Candidate 3]]-Audit[[#This Row],[Candidate 3]], "")</f>
        <v/>
      </c>
      <c r="AH70" s="114" t="str">
        <f>IF(NOT(ISBLANK(Audit[[#This Row],[Audit Candidate 4]])),Audit[[#This Row],[Audit Candidate 4]]-Audit[[#This Row],[Candidate 4]], "")</f>
        <v/>
      </c>
      <c r="AI70" s="114" t="str">
        <f>IF(NOT(ISBLANK(Audit[[#This Row],[Audit Candidate 5]])), Audit[[#This Row],[Audit Candidate 5]]-Audit[[#This Row],[Candidate 5]], "")</f>
        <v/>
      </c>
      <c r="AJ70" s="114" t="str">
        <f>IF(NOT(ISBLANK(Audit[[#This Row],[Audit Candidate 6]])), Audit[[#This Row],[Audit Candidate 6]]-Audit[[#This Row],[Candidate 6]], "")</f>
        <v/>
      </c>
      <c r="AK70" s="114" t="str">
        <f>IF(NOT(ISBLANK(Audit[[#This Row],[Audit Candidate 7]])), Audit[[#This Row],[Audit Candidate 7]]-Audit[[#This Row],[Candidate 7]], "")</f>
        <v/>
      </c>
      <c r="AL70" s="114" t="str">
        <f>IF(NOT(ISBLANK(Audit[[#This Row],[Audit Candidate 8]])), Audit[[#This Row],[Audit Candidate 8]]-Audit[[#This Row],[Candidate 8]], "")</f>
        <v/>
      </c>
      <c r="AM70" s="114" t="str">
        <f>IF(NOT(ISBLANK(Audit[[#This Row],[Audit Candidate 9]])), Audit[[#This Row],[Audit Candidate 9]]-Audit[[#This Row],[Candidate 9]], "")</f>
        <v/>
      </c>
      <c r="AN70" s="114" t="str">
        <f>IF(NOT(ISBLANK(Audit[[#This Row],[Audit Candidate 10]])), Audit[[#This Row],[Audit Candidate 10]]-Audit[[#This Row],[Candidate 10]], "")</f>
        <v/>
      </c>
      <c r="AO70" s="114" t="str">
        <f>IF(NOT(ISBLANK(Audit[[#This Row],[Audit Candidate 11]])), Audit[[#This Row],[Audit Candidate 11]]-Audit[[#This Row],[Candidate 11]], "")</f>
        <v/>
      </c>
      <c r="AP70" s="114" t="str">
        <f>IF(NOT(ISBLANK(Audit[[#This Row],[Audit Candidate 12]])), Audit[[#This Row],[Audit Candidate 12]]-Audit[[#This Row],[Candidate 12]], "")</f>
        <v/>
      </c>
      <c r="AQ70" s="114">
        <f>SUMIF(Audit[[#This Row],[Difference Winner]:[Difference Candidate 12]], "&gt;0")</f>
        <v>0</v>
      </c>
      <c r="AR70" s="114">
        <f>SUM(Audit[[#This Row],[Difference Winner]:[Difference Candidate 12]])</f>
        <v>0</v>
      </c>
      <c r="AS70" s="114">
        <f>IF(Audit[[#This Row],[Times p Drawn - With Replacement]]&gt;0, IF(Audit[[#This Row],[Canceled Differences]]&lt;0, Audit[[#This Row],[Max Differences]]+ABS(Audit[[#This Row],[Canceled Differences]]), Audit[[#This Row],[Max Differences]]), 0)</f>
        <v>0</v>
      </c>
      <c r="AT70" s="114">
        <f>'Sampling Data'!AB70</f>
        <v>2.2122495417483093E-3</v>
      </c>
      <c r="AU70" s="114">
        <f>IF(
      SUM(Audit[[#This Row],[Audit Losing Candidate]:[Audit Candidate 12]])
      &lt;&gt;0,
      (Audit[[#This Row],[Winning Candidate]]-Audit[[#This Row],[Losing Candidate]]-(Audit[[#This Row],[Audit Winning Candidate]]-Audit[[#This Row],[Audit Losing Candidate]]))/(Audit[[#Totals],[Winning Candidate]]-Audit[[#Totals],[Losing Candidate]]),
      0
)</f>
        <v>0</v>
      </c>
      <c r="AV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0" s="114">
        <f>IF(Audit[[#This Row],[Max Relative Error (ep)]] = 0, 0, Audit[[#This Row],[Max Relative Error (ep)]]/Audit[[#This Row],[Error Bound (up) - Max. possible relative overstatement]])</f>
        <v>0</v>
      </c>
      <c r="BH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0" s="114">
        <f t="shared" si="1"/>
        <v>1</v>
      </c>
      <c r="BJ70" s="114">
        <f>PRODUCT($BI$5:BI70)</f>
        <v>0.35300762669611035</v>
      </c>
      <c r="BK70" s="112">
        <f>1 - Audit[[#This Row],[K-M P Value]]</f>
        <v>0.64699237330388959</v>
      </c>
      <c r="BL70" s="114" t="str">
        <f>IF(Audit[[#This Row],[K-M P Value]]&gt;1-'General Info'!$B$12,"Continue", "Stop")</f>
        <v>Continue</v>
      </c>
      <c r="BM70" s="113" t="b">
        <f>IF(Audit[[#This Row],[Status - Continue or stop audit]] = "Continue", TRUE, IF(BL69 = "Continue", TRUE, FALSE))</f>
        <v>1</v>
      </c>
      <c r="BN70" s="113"/>
    </row>
    <row r="71" spans="1:66" ht="15" hidden="1" customHeight="1" x14ac:dyDescent="0.35">
      <c r="A71" s="114" t="str">
        <f>'Sampling Data'!AI71</f>
        <v/>
      </c>
      <c r="B71" s="114" t="str">
        <f>'Sampling Data'!A71</f>
        <v>0901 CIN 9-A   (AV)</v>
      </c>
      <c r="C71" s="114">
        <f>'Sampling Data'!B71</f>
        <v>10</v>
      </c>
      <c r="D71" s="114">
        <f>'Sampling Data'!C71</f>
        <v>0</v>
      </c>
      <c r="E71" s="115">
        <f>'Sampling Data'!D71</f>
        <v>0</v>
      </c>
      <c r="F71" s="115">
        <f>'Sampling Data'!E71</f>
        <v>0</v>
      </c>
      <c r="G71" s="115">
        <f>'Sampling Data'!F71</f>
        <v>0</v>
      </c>
      <c r="H71" s="115">
        <f>'Sampling Data'!G71</f>
        <v>0</v>
      </c>
      <c r="I71" s="115">
        <f>'Sampling Data'!H71</f>
        <v>0</v>
      </c>
      <c r="J71" s="115">
        <f>'Sampling Data'!I71</f>
        <v>0</v>
      </c>
      <c r="K71" s="115">
        <f>'Sampling Data'!J71</f>
        <v>0</v>
      </c>
      <c r="L71" s="115">
        <f>'Sampling Data'!K71</f>
        <v>0</v>
      </c>
      <c r="M71" s="115">
        <f>'Sampling Data'!L71</f>
        <v>0</v>
      </c>
      <c r="N71" s="115">
        <f>'Sampling Data'!M71</f>
        <v>0</v>
      </c>
      <c r="O71" s="114">
        <f>'Sampling Data'!N71</f>
        <v>0</v>
      </c>
      <c r="P71" s="114">
        <f>'Sampling Data'!O71</f>
        <v>0</v>
      </c>
      <c r="Q71" s="114">
        <f>'Sampling Data'!P71</f>
        <v>10</v>
      </c>
      <c r="R71" s="114">
        <f>'Sampling Data'!AJ71</f>
        <v>0</v>
      </c>
      <c r="S71" s="116"/>
      <c r="T71" s="116"/>
      <c r="U71" s="117"/>
      <c r="V71" s="117"/>
      <c r="W71" s="116"/>
      <c r="X71" s="116"/>
      <c r="Y71" s="116"/>
      <c r="Z71" s="116"/>
      <c r="AA71" s="15"/>
      <c r="AB71" s="15"/>
      <c r="AC71" s="15"/>
      <c r="AD71" s="15"/>
      <c r="AE71" s="118" t="str">
        <f>IF(NOT(ISBLANK(Audit[[#This Row],[Audit Winning Candidate]])), Audit[[#This Row],[Audit Winning Candidate]]-Audit[[#This Row],[Winning Candidate]], "")</f>
        <v/>
      </c>
      <c r="AF71" s="114" t="str">
        <f>IF(NOT(ISBLANK(Audit[[#This Row],[Audit Losing Candidate]])), Audit[[#This Row],[Audit Losing Candidate]]-Audit[[#This Row],[Losing Candidate]], "")</f>
        <v/>
      </c>
      <c r="AG71" s="114" t="str">
        <f>IF(NOT(ISBLANK(Audit[[#This Row],[Audit Candidate 3]])), Audit[[#This Row],[Audit Candidate 3]]-Audit[[#This Row],[Candidate 3]], "")</f>
        <v/>
      </c>
      <c r="AH71" s="114" t="str">
        <f>IF(NOT(ISBLANK(Audit[[#This Row],[Audit Candidate 4]])),Audit[[#This Row],[Audit Candidate 4]]-Audit[[#This Row],[Candidate 4]], "")</f>
        <v/>
      </c>
      <c r="AI71" s="114" t="str">
        <f>IF(NOT(ISBLANK(Audit[[#This Row],[Audit Candidate 5]])), Audit[[#This Row],[Audit Candidate 5]]-Audit[[#This Row],[Candidate 5]], "")</f>
        <v/>
      </c>
      <c r="AJ71" s="114" t="str">
        <f>IF(NOT(ISBLANK(Audit[[#This Row],[Audit Candidate 6]])), Audit[[#This Row],[Audit Candidate 6]]-Audit[[#This Row],[Candidate 6]], "")</f>
        <v/>
      </c>
      <c r="AK71" s="114" t="str">
        <f>IF(NOT(ISBLANK(Audit[[#This Row],[Audit Candidate 7]])), Audit[[#This Row],[Audit Candidate 7]]-Audit[[#This Row],[Candidate 7]], "")</f>
        <v/>
      </c>
      <c r="AL71" s="114" t="str">
        <f>IF(NOT(ISBLANK(Audit[[#This Row],[Audit Candidate 8]])), Audit[[#This Row],[Audit Candidate 8]]-Audit[[#This Row],[Candidate 8]], "")</f>
        <v/>
      </c>
      <c r="AM71" s="114" t="str">
        <f>IF(NOT(ISBLANK(Audit[[#This Row],[Audit Candidate 9]])), Audit[[#This Row],[Audit Candidate 9]]-Audit[[#This Row],[Candidate 9]], "")</f>
        <v/>
      </c>
      <c r="AN71" s="114" t="str">
        <f>IF(NOT(ISBLANK(Audit[[#This Row],[Audit Candidate 10]])), Audit[[#This Row],[Audit Candidate 10]]-Audit[[#This Row],[Candidate 10]], "")</f>
        <v/>
      </c>
      <c r="AO71" s="114" t="str">
        <f>IF(NOT(ISBLANK(Audit[[#This Row],[Audit Candidate 11]])), Audit[[#This Row],[Audit Candidate 11]]-Audit[[#This Row],[Candidate 11]], "")</f>
        <v/>
      </c>
      <c r="AP71" s="114" t="str">
        <f>IF(NOT(ISBLANK(Audit[[#This Row],[Audit Candidate 12]])), Audit[[#This Row],[Audit Candidate 12]]-Audit[[#This Row],[Candidate 12]], "")</f>
        <v/>
      </c>
      <c r="AQ71" s="114">
        <f>SUMIF(Audit[[#This Row],[Difference Winner]:[Difference Candidate 12]], "&gt;0")</f>
        <v>0</v>
      </c>
      <c r="AR71" s="114">
        <f>SUM(Audit[[#This Row],[Difference Winner]:[Difference Candidate 12]])</f>
        <v>0</v>
      </c>
      <c r="AS71" s="114">
        <f>IF(Audit[[#This Row],[Times p Drawn - With Replacement]]&gt;0, IF(Audit[[#This Row],[Canceled Differences]]&lt;0, Audit[[#This Row],[Max Differences]]+ABS(Audit[[#This Row],[Canceled Differences]]), Audit[[#This Row],[Max Differences]]), 0)</f>
        <v>0</v>
      </c>
      <c r="AT71" s="114">
        <f>'Sampling Data'!AB71</f>
        <v>1.2641425952847481E-3</v>
      </c>
      <c r="AU71" s="114">
        <f>IF(
      SUM(Audit[[#This Row],[Audit Losing Candidate]:[Audit Candidate 12]])
      &lt;&gt;0,
      (Audit[[#This Row],[Winning Candidate]]-Audit[[#This Row],[Losing Candidate]]-(Audit[[#This Row],[Audit Winning Candidate]]-Audit[[#This Row],[Audit Losing Candidate]]))/(Audit[[#Totals],[Winning Candidate]]-Audit[[#Totals],[Losing Candidate]]),
      0
)</f>
        <v>0</v>
      </c>
      <c r="AV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1" s="114">
        <f>IF(Audit[[#This Row],[Max Relative Error (ep)]] = 0, 0, Audit[[#This Row],[Max Relative Error (ep)]]/Audit[[#This Row],[Error Bound (up) - Max. possible relative overstatement]])</f>
        <v>0</v>
      </c>
      <c r="BH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1" s="114">
        <f t="shared" si="1"/>
        <v>1</v>
      </c>
      <c r="BJ71" s="114">
        <f>PRODUCT($BI$5:BI71)</f>
        <v>0.35300762669611035</v>
      </c>
      <c r="BK71" s="112">
        <f>1 - Audit[[#This Row],[K-M P Value]]</f>
        <v>0.64699237330388959</v>
      </c>
      <c r="BL71" s="114" t="str">
        <f>IF(Audit[[#This Row],[K-M P Value]]&gt;1-'General Info'!$B$12,"Continue", "Stop")</f>
        <v>Continue</v>
      </c>
      <c r="BM71" s="113" t="b">
        <f>IF(Audit[[#This Row],[Status - Continue or stop audit]] = "Continue", TRUE, IF(BL70 = "Continue", TRUE, FALSE))</f>
        <v>1</v>
      </c>
      <c r="BN71" s="113"/>
    </row>
    <row r="72" spans="1:66" ht="15" hidden="1" customHeight="1" x14ac:dyDescent="0.35">
      <c r="A72" s="114" t="str">
        <f>'Sampling Data'!AI72</f>
        <v/>
      </c>
      <c r="B72" s="114" t="str">
        <f>'Sampling Data'!A72</f>
        <v>0902 CIN 9-B   (AV)</v>
      </c>
      <c r="C72" s="114">
        <f>'Sampling Data'!B72</f>
        <v>26</v>
      </c>
      <c r="D72" s="114">
        <f>'Sampling Data'!C72</f>
        <v>6</v>
      </c>
      <c r="E72" s="115">
        <f>'Sampling Data'!D72</f>
        <v>2</v>
      </c>
      <c r="F72" s="115">
        <f>'Sampling Data'!E72</f>
        <v>0</v>
      </c>
      <c r="G72" s="115">
        <f>'Sampling Data'!F72</f>
        <v>0</v>
      </c>
      <c r="H72" s="115">
        <f>'Sampling Data'!G72</f>
        <v>0</v>
      </c>
      <c r="I72" s="115">
        <f>'Sampling Data'!H72</f>
        <v>0</v>
      </c>
      <c r="J72" s="115">
        <f>'Sampling Data'!I72</f>
        <v>0</v>
      </c>
      <c r="K72" s="115">
        <f>'Sampling Data'!J72</f>
        <v>0</v>
      </c>
      <c r="L72" s="115">
        <f>'Sampling Data'!K72</f>
        <v>0</v>
      </c>
      <c r="M72" s="115">
        <f>'Sampling Data'!L72</f>
        <v>0</v>
      </c>
      <c r="N72" s="115">
        <f>'Sampling Data'!M72</f>
        <v>0</v>
      </c>
      <c r="O72" s="114">
        <f>'Sampling Data'!N72</f>
        <v>0</v>
      </c>
      <c r="P72" s="114">
        <f>'Sampling Data'!O72</f>
        <v>0</v>
      </c>
      <c r="Q72" s="114">
        <f>'Sampling Data'!P72</f>
        <v>34</v>
      </c>
      <c r="R72" s="114">
        <f>'Sampling Data'!AJ72</f>
        <v>0</v>
      </c>
      <c r="S72" s="116"/>
      <c r="T72" s="116"/>
      <c r="U72" s="117"/>
      <c r="V72" s="117"/>
      <c r="W72" s="116"/>
      <c r="X72" s="116"/>
      <c r="Y72" s="116"/>
      <c r="Z72" s="116"/>
      <c r="AA72" s="15"/>
      <c r="AB72" s="15"/>
      <c r="AC72" s="15"/>
      <c r="AD72" s="15"/>
      <c r="AE72" s="118" t="str">
        <f>IF(NOT(ISBLANK(Audit[[#This Row],[Audit Winning Candidate]])), Audit[[#This Row],[Audit Winning Candidate]]-Audit[[#This Row],[Winning Candidate]], "")</f>
        <v/>
      </c>
      <c r="AF72" s="114" t="str">
        <f>IF(NOT(ISBLANK(Audit[[#This Row],[Audit Losing Candidate]])), Audit[[#This Row],[Audit Losing Candidate]]-Audit[[#This Row],[Losing Candidate]], "")</f>
        <v/>
      </c>
      <c r="AG72" s="114" t="str">
        <f>IF(NOT(ISBLANK(Audit[[#This Row],[Audit Candidate 3]])), Audit[[#This Row],[Audit Candidate 3]]-Audit[[#This Row],[Candidate 3]], "")</f>
        <v/>
      </c>
      <c r="AH72" s="114" t="str">
        <f>IF(NOT(ISBLANK(Audit[[#This Row],[Audit Candidate 4]])),Audit[[#This Row],[Audit Candidate 4]]-Audit[[#This Row],[Candidate 4]], "")</f>
        <v/>
      </c>
      <c r="AI72" s="114" t="str">
        <f>IF(NOT(ISBLANK(Audit[[#This Row],[Audit Candidate 5]])), Audit[[#This Row],[Audit Candidate 5]]-Audit[[#This Row],[Candidate 5]], "")</f>
        <v/>
      </c>
      <c r="AJ72" s="114" t="str">
        <f>IF(NOT(ISBLANK(Audit[[#This Row],[Audit Candidate 6]])), Audit[[#This Row],[Audit Candidate 6]]-Audit[[#This Row],[Candidate 6]], "")</f>
        <v/>
      </c>
      <c r="AK72" s="114" t="str">
        <f>IF(NOT(ISBLANK(Audit[[#This Row],[Audit Candidate 7]])), Audit[[#This Row],[Audit Candidate 7]]-Audit[[#This Row],[Candidate 7]], "")</f>
        <v/>
      </c>
      <c r="AL72" s="114" t="str">
        <f>IF(NOT(ISBLANK(Audit[[#This Row],[Audit Candidate 8]])), Audit[[#This Row],[Audit Candidate 8]]-Audit[[#This Row],[Candidate 8]], "")</f>
        <v/>
      </c>
      <c r="AM72" s="114" t="str">
        <f>IF(NOT(ISBLANK(Audit[[#This Row],[Audit Candidate 9]])), Audit[[#This Row],[Audit Candidate 9]]-Audit[[#This Row],[Candidate 9]], "")</f>
        <v/>
      </c>
      <c r="AN72" s="114" t="str">
        <f>IF(NOT(ISBLANK(Audit[[#This Row],[Audit Candidate 10]])), Audit[[#This Row],[Audit Candidate 10]]-Audit[[#This Row],[Candidate 10]], "")</f>
        <v/>
      </c>
      <c r="AO72" s="114" t="str">
        <f>IF(NOT(ISBLANK(Audit[[#This Row],[Audit Candidate 11]])), Audit[[#This Row],[Audit Candidate 11]]-Audit[[#This Row],[Candidate 11]], "")</f>
        <v/>
      </c>
      <c r="AP72" s="114" t="str">
        <f>IF(NOT(ISBLANK(Audit[[#This Row],[Audit Candidate 12]])), Audit[[#This Row],[Audit Candidate 12]]-Audit[[#This Row],[Candidate 12]], "")</f>
        <v/>
      </c>
      <c r="AQ72" s="114">
        <f>SUMIF(Audit[[#This Row],[Difference Winner]:[Difference Candidate 12]], "&gt;0")</f>
        <v>0</v>
      </c>
      <c r="AR72" s="114">
        <f>SUM(Audit[[#This Row],[Difference Winner]:[Difference Candidate 12]])</f>
        <v>0</v>
      </c>
      <c r="AS72" s="114">
        <f>IF(Audit[[#This Row],[Times p Drawn - With Replacement]]&gt;0, IF(Audit[[#This Row],[Canceled Differences]]&lt;0, Audit[[#This Row],[Max Differences]]+ABS(Audit[[#This Row],[Canceled Differences]]), Audit[[#This Row],[Max Differences]]), 0)</f>
        <v>0</v>
      </c>
      <c r="AT72" s="114">
        <f>'Sampling Data'!AB72</f>
        <v>3.4131850072688201E-3</v>
      </c>
      <c r="AU72" s="114">
        <f>IF(
      SUM(Audit[[#This Row],[Audit Losing Candidate]:[Audit Candidate 12]])
      &lt;&gt;0,
      (Audit[[#This Row],[Winning Candidate]]-Audit[[#This Row],[Losing Candidate]]-(Audit[[#This Row],[Audit Winning Candidate]]-Audit[[#This Row],[Audit Losing Candidate]]))/(Audit[[#Totals],[Winning Candidate]]-Audit[[#Totals],[Losing Candidate]]),
      0
)</f>
        <v>0</v>
      </c>
      <c r="AV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2" s="114">
        <f>IF(Audit[[#This Row],[Max Relative Error (ep)]] = 0, 0, Audit[[#This Row],[Max Relative Error (ep)]]/Audit[[#This Row],[Error Bound (up) - Max. possible relative overstatement]])</f>
        <v>0</v>
      </c>
      <c r="BH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2" s="114">
        <f t="shared" si="1"/>
        <v>1</v>
      </c>
      <c r="BJ72" s="114">
        <f>PRODUCT($BI$5:BI72)</f>
        <v>0.35300762669611035</v>
      </c>
      <c r="BK72" s="112">
        <f>1 - Audit[[#This Row],[K-M P Value]]</f>
        <v>0.64699237330388959</v>
      </c>
      <c r="BL72" s="114" t="str">
        <f>IF(Audit[[#This Row],[K-M P Value]]&gt;1-'General Info'!$B$12,"Continue", "Stop")</f>
        <v>Continue</v>
      </c>
      <c r="BM72" s="113" t="b">
        <f>IF(Audit[[#This Row],[Status - Continue or stop audit]] = "Continue", TRUE, IF(BL71 = "Continue", TRUE, FALSE))</f>
        <v>1</v>
      </c>
      <c r="BN72" s="113"/>
    </row>
    <row r="73" spans="1:66" ht="15" hidden="1" customHeight="1" x14ac:dyDescent="0.35">
      <c r="A73" s="114" t="str">
        <f>'Sampling Data'!AI73</f>
        <v/>
      </c>
      <c r="B73" s="114" t="str">
        <f>'Sampling Data'!A73</f>
        <v>0903 CIN 9-C   (AV)</v>
      </c>
      <c r="C73" s="114">
        <f>'Sampling Data'!B73</f>
        <v>15</v>
      </c>
      <c r="D73" s="114">
        <f>'Sampling Data'!C73</f>
        <v>1</v>
      </c>
      <c r="E73" s="115">
        <f>'Sampling Data'!D73</f>
        <v>3</v>
      </c>
      <c r="F73" s="115">
        <f>'Sampling Data'!E73</f>
        <v>0</v>
      </c>
      <c r="G73" s="115">
        <f>'Sampling Data'!F73</f>
        <v>0</v>
      </c>
      <c r="H73" s="115">
        <f>'Sampling Data'!G73</f>
        <v>0</v>
      </c>
      <c r="I73" s="115">
        <f>'Sampling Data'!H73</f>
        <v>0</v>
      </c>
      <c r="J73" s="115">
        <f>'Sampling Data'!I73</f>
        <v>0</v>
      </c>
      <c r="K73" s="115">
        <f>'Sampling Data'!J73</f>
        <v>0</v>
      </c>
      <c r="L73" s="115">
        <f>'Sampling Data'!K73</f>
        <v>0</v>
      </c>
      <c r="M73" s="115">
        <f>'Sampling Data'!L73</f>
        <v>0</v>
      </c>
      <c r="N73" s="115">
        <f>'Sampling Data'!M73</f>
        <v>0</v>
      </c>
      <c r="O73" s="114">
        <f>'Sampling Data'!N73</f>
        <v>0</v>
      </c>
      <c r="P73" s="114">
        <f>'Sampling Data'!O73</f>
        <v>2</v>
      </c>
      <c r="Q73" s="114">
        <f>'Sampling Data'!P73</f>
        <v>21</v>
      </c>
      <c r="R73" s="114">
        <f>'Sampling Data'!AJ73</f>
        <v>0</v>
      </c>
      <c r="S73" s="116"/>
      <c r="T73" s="116"/>
      <c r="U73" s="117"/>
      <c r="V73" s="117"/>
      <c r="W73" s="116"/>
      <c r="X73" s="116"/>
      <c r="Y73" s="116"/>
      <c r="Z73" s="116"/>
      <c r="AA73" s="15"/>
      <c r="AB73" s="15"/>
      <c r="AC73" s="15"/>
      <c r="AD73" s="15"/>
      <c r="AE73" s="118" t="str">
        <f>IF(NOT(ISBLANK(Audit[[#This Row],[Audit Winning Candidate]])), Audit[[#This Row],[Audit Winning Candidate]]-Audit[[#This Row],[Winning Candidate]], "")</f>
        <v/>
      </c>
      <c r="AF73" s="114" t="str">
        <f>IF(NOT(ISBLANK(Audit[[#This Row],[Audit Losing Candidate]])), Audit[[#This Row],[Audit Losing Candidate]]-Audit[[#This Row],[Losing Candidate]], "")</f>
        <v/>
      </c>
      <c r="AG73" s="114" t="str">
        <f>IF(NOT(ISBLANK(Audit[[#This Row],[Audit Candidate 3]])), Audit[[#This Row],[Audit Candidate 3]]-Audit[[#This Row],[Candidate 3]], "")</f>
        <v/>
      </c>
      <c r="AH73" s="114" t="str">
        <f>IF(NOT(ISBLANK(Audit[[#This Row],[Audit Candidate 4]])),Audit[[#This Row],[Audit Candidate 4]]-Audit[[#This Row],[Candidate 4]], "")</f>
        <v/>
      </c>
      <c r="AI73" s="114" t="str">
        <f>IF(NOT(ISBLANK(Audit[[#This Row],[Audit Candidate 5]])), Audit[[#This Row],[Audit Candidate 5]]-Audit[[#This Row],[Candidate 5]], "")</f>
        <v/>
      </c>
      <c r="AJ73" s="114" t="str">
        <f>IF(NOT(ISBLANK(Audit[[#This Row],[Audit Candidate 6]])), Audit[[#This Row],[Audit Candidate 6]]-Audit[[#This Row],[Candidate 6]], "")</f>
        <v/>
      </c>
      <c r="AK73" s="114" t="str">
        <f>IF(NOT(ISBLANK(Audit[[#This Row],[Audit Candidate 7]])), Audit[[#This Row],[Audit Candidate 7]]-Audit[[#This Row],[Candidate 7]], "")</f>
        <v/>
      </c>
      <c r="AL73" s="114" t="str">
        <f>IF(NOT(ISBLANK(Audit[[#This Row],[Audit Candidate 8]])), Audit[[#This Row],[Audit Candidate 8]]-Audit[[#This Row],[Candidate 8]], "")</f>
        <v/>
      </c>
      <c r="AM73" s="114" t="str">
        <f>IF(NOT(ISBLANK(Audit[[#This Row],[Audit Candidate 9]])), Audit[[#This Row],[Audit Candidate 9]]-Audit[[#This Row],[Candidate 9]], "")</f>
        <v/>
      </c>
      <c r="AN73" s="114" t="str">
        <f>IF(NOT(ISBLANK(Audit[[#This Row],[Audit Candidate 10]])), Audit[[#This Row],[Audit Candidate 10]]-Audit[[#This Row],[Candidate 10]], "")</f>
        <v/>
      </c>
      <c r="AO73" s="114" t="str">
        <f>IF(NOT(ISBLANK(Audit[[#This Row],[Audit Candidate 11]])), Audit[[#This Row],[Audit Candidate 11]]-Audit[[#This Row],[Candidate 11]], "")</f>
        <v/>
      </c>
      <c r="AP73" s="114" t="str">
        <f>IF(NOT(ISBLANK(Audit[[#This Row],[Audit Candidate 12]])), Audit[[#This Row],[Audit Candidate 12]]-Audit[[#This Row],[Candidate 12]], "")</f>
        <v/>
      </c>
      <c r="AQ73" s="114">
        <f>SUMIF(Audit[[#This Row],[Difference Winner]:[Difference Candidate 12]], "&gt;0")</f>
        <v>0</v>
      </c>
      <c r="AR73" s="114">
        <f>SUM(Audit[[#This Row],[Difference Winner]:[Difference Candidate 12]])</f>
        <v>0</v>
      </c>
      <c r="AS73" s="114">
        <f>IF(Audit[[#This Row],[Times p Drawn - With Replacement]]&gt;0, IF(Audit[[#This Row],[Canceled Differences]]&lt;0, Audit[[#This Row],[Max Differences]]+ABS(Audit[[#This Row],[Canceled Differences]]), Audit[[#This Row],[Max Differences]]), 0)</f>
        <v>0</v>
      </c>
      <c r="AT73" s="114">
        <f>'Sampling Data'!AB73</f>
        <v>2.2122495417483093E-3</v>
      </c>
      <c r="AU73" s="114">
        <f>IF(
      SUM(Audit[[#This Row],[Audit Losing Candidate]:[Audit Candidate 12]])
      &lt;&gt;0,
      (Audit[[#This Row],[Winning Candidate]]-Audit[[#This Row],[Losing Candidate]]-(Audit[[#This Row],[Audit Winning Candidate]]-Audit[[#This Row],[Audit Losing Candidate]]))/(Audit[[#Totals],[Winning Candidate]]-Audit[[#Totals],[Losing Candidate]]),
      0
)</f>
        <v>0</v>
      </c>
      <c r="AV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3" s="114">
        <f>IF(Audit[[#This Row],[Max Relative Error (ep)]] = 0, 0, Audit[[#This Row],[Max Relative Error (ep)]]/Audit[[#This Row],[Error Bound (up) - Max. possible relative overstatement]])</f>
        <v>0</v>
      </c>
      <c r="BH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3" s="114">
        <f t="shared" si="1"/>
        <v>1</v>
      </c>
      <c r="BJ73" s="114">
        <f>PRODUCT($BI$5:BI73)</f>
        <v>0.35300762669611035</v>
      </c>
      <c r="BK73" s="112">
        <f>1 - Audit[[#This Row],[K-M P Value]]</f>
        <v>0.64699237330388959</v>
      </c>
      <c r="BL73" s="114" t="str">
        <f>IF(Audit[[#This Row],[K-M P Value]]&gt;1-'General Info'!$B$12,"Continue", "Stop")</f>
        <v>Continue</v>
      </c>
      <c r="BM73" s="113" t="b">
        <f>IF(Audit[[#This Row],[Status - Continue or stop audit]] = "Continue", TRUE, IF(BL72 = "Continue", TRUE, FALSE))</f>
        <v>1</v>
      </c>
      <c r="BN73" s="113"/>
    </row>
    <row r="74" spans="1:66" ht="15" hidden="1" customHeight="1" x14ac:dyDescent="0.35">
      <c r="A74" s="114" t="str">
        <f>'Sampling Data'!AI74</f>
        <v/>
      </c>
      <c r="B74" s="114" t="str">
        <f>'Sampling Data'!A74</f>
        <v>0904 CIN 9-D   (AV)</v>
      </c>
      <c r="C74" s="114">
        <f>'Sampling Data'!B74</f>
        <v>11</v>
      </c>
      <c r="D74" s="114">
        <f>'Sampling Data'!C74</f>
        <v>0</v>
      </c>
      <c r="E74" s="115">
        <f>'Sampling Data'!D74</f>
        <v>0</v>
      </c>
      <c r="F74" s="115">
        <f>'Sampling Data'!E74</f>
        <v>0</v>
      </c>
      <c r="G74" s="115">
        <f>'Sampling Data'!F74</f>
        <v>0</v>
      </c>
      <c r="H74" s="115">
        <f>'Sampling Data'!G74</f>
        <v>0</v>
      </c>
      <c r="I74" s="115">
        <f>'Sampling Data'!H74</f>
        <v>0</v>
      </c>
      <c r="J74" s="115">
        <f>'Sampling Data'!I74</f>
        <v>0</v>
      </c>
      <c r="K74" s="115">
        <f>'Sampling Data'!J74</f>
        <v>0</v>
      </c>
      <c r="L74" s="115">
        <f>'Sampling Data'!K74</f>
        <v>0</v>
      </c>
      <c r="M74" s="115">
        <f>'Sampling Data'!L74</f>
        <v>0</v>
      </c>
      <c r="N74" s="115">
        <f>'Sampling Data'!M74</f>
        <v>0</v>
      </c>
      <c r="O74" s="114">
        <f>'Sampling Data'!N74</f>
        <v>0</v>
      </c>
      <c r="P74" s="114">
        <f>'Sampling Data'!O74</f>
        <v>1</v>
      </c>
      <c r="Q74" s="114">
        <f>'Sampling Data'!P74</f>
        <v>12</v>
      </c>
      <c r="R74" s="114">
        <f>'Sampling Data'!AJ74</f>
        <v>0</v>
      </c>
      <c r="S74" s="116"/>
      <c r="T74" s="116"/>
      <c r="U74" s="117"/>
      <c r="V74" s="117"/>
      <c r="W74" s="116"/>
      <c r="X74" s="116"/>
      <c r="Y74" s="116"/>
      <c r="Z74" s="116"/>
      <c r="AA74" s="15"/>
      <c r="AB74" s="15"/>
      <c r="AC74" s="15"/>
      <c r="AD74" s="15"/>
      <c r="AE74" s="118" t="str">
        <f>IF(NOT(ISBLANK(Audit[[#This Row],[Audit Winning Candidate]])), Audit[[#This Row],[Audit Winning Candidate]]-Audit[[#This Row],[Winning Candidate]], "")</f>
        <v/>
      </c>
      <c r="AF74" s="114" t="str">
        <f>IF(NOT(ISBLANK(Audit[[#This Row],[Audit Losing Candidate]])), Audit[[#This Row],[Audit Losing Candidate]]-Audit[[#This Row],[Losing Candidate]], "")</f>
        <v/>
      </c>
      <c r="AG74" s="114" t="str">
        <f>IF(NOT(ISBLANK(Audit[[#This Row],[Audit Candidate 3]])), Audit[[#This Row],[Audit Candidate 3]]-Audit[[#This Row],[Candidate 3]], "")</f>
        <v/>
      </c>
      <c r="AH74" s="114" t="str">
        <f>IF(NOT(ISBLANK(Audit[[#This Row],[Audit Candidate 4]])),Audit[[#This Row],[Audit Candidate 4]]-Audit[[#This Row],[Candidate 4]], "")</f>
        <v/>
      </c>
      <c r="AI74" s="114" t="str">
        <f>IF(NOT(ISBLANK(Audit[[#This Row],[Audit Candidate 5]])), Audit[[#This Row],[Audit Candidate 5]]-Audit[[#This Row],[Candidate 5]], "")</f>
        <v/>
      </c>
      <c r="AJ74" s="114" t="str">
        <f>IF(NOT(ISBLANK(Audit[[#This Row],[Audit Candidate 6]])), Audit[[#This Row],[Audit Candidate 6]]-Audit[[#This Row],[Candidate 6]], "")</f>
        <v/>
      </c>
      <c r="AK74" s="114" t="str">
        <f>IF(NOT(ISBLANK(Audit[[#This Row],[Audit Candidate 7]])), Audit[[#This Row],[Audit Candidate 7]]-Audit[[#This Row],[Candidate 7]], "")</f>
        <v/>
      </c>
      <c r="AL74" s="114" t="str">
        <f>IF(NOT(ISBLANK(Audit[[#This Row],[Audit Candidate 8]])), Audit[[#This Row],[Audit Candidate 8]]-Audit[[#This Row],[Candidate 8]], "")</f>
        <v/>
      </c>
      <c r="AM74" s="114" t="str">
        <f>IF(NOT(ISBLANK(Audit[[#This Row],[Audit Candidate 9]])), Audit[[#This Row],[Audit Candidate 9]]-Audit[[#This Row],[Candidate 9]], "")</f>
        <v/>
      </c>
      <c r="AN74" s="114" t="str">
        <f>IF(NOT(ISBLANK(Audit[[#This Row],[Audit Candidate 10]])), Audit[[#This Row],[Audit Candidate 10]]-Audit[[#This Row],[Candidate 10]], "")</f>
        <v/>
      </c>
      <c r="AO74" s="114" t="str">
        <f>IF(NOT(ISBLANK(Audit[[#This Row],[Audit Candidate 11]])), Audit[[#This Row],[Audit Candidate 11]]-Audit[[#This Row],[Candidate 11]], "")</f>
        <v/>
      </c>
      <c r="AP74" s="114" t="str">
        <f>IF(NOT(ISBLANK(Audit[[#This Row],[Audit Candidate 12]])), Audit[[#This Row],[Audit Candidate 12]]-Audit[[#This Row],[Candidate 12]], "")</f>
        <v/>
      </c>
      <c r="AQ74" s="114">
        <f>SUMIF(Audit[[#This Row],[Difference Winner]:[Difference Candidate 12]], "&gt;0")</f>
        <v>0</v>
      </c>
      <c r="AR74" s="114">
        <f>SUM(Audit[[#This Row],[Difference Winner]:[Difference Candidate 12]])</f>
        <v>0</v>
      </c>
      <c r="AS74" s="114">
        <f>IF(Audit[[#This Row],[Times p Drawn - With Replacement]]&gt;0, IF(Audit[[#This Row],[Canceled Differences]]&lt;0, Audit[[#This Row],[Max Differences]]+ABS(Audit[[#This Row],[Canceled Differences]]), Audit[[#This Row],[Max Differences]]), 0)</f>
        <v>0</v>
      </c>
      <c r="AT74" s="114">
        <f>'Sampling Data'!AB74</f>
        <v>1.4537639845774604E-3</v>
      </c>
      <c r="AU74" s="114">
        <f>IF(
      SUM(Audit[[#This Row],[Audit Losing Candidate]:[Audit Candidate 12]])
      &lt;&gt;0,
      (Audit[[#This Row],[Winning Candidate]]-Audit[[#This Row],[Losing Candidate]]-(Audit[[#This Row],[Audit Winning Candidate]]-Audit[[#This Row],[Audit Losing Candidate]]))/(Audit[[#Totals],[Winning Candidate]]-Audit[[#Totals],[Losing Candidate]]),
      0
)</f>
        <v>0</v>
      </c>
      <c r="AV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4" s="114">
        <f>IF(Audit[[#This Row],[Max Relative Error (ep)]] = 0, 0, Audit[[#This Row],[Max Relative Error (ep)]]/Audit[[#This Row],[Error Bound (up) - Max. possible relative overstatement]])</f>
        <v>0</v>
      </c>
      <c r="BH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4" s="114">
        <f t="shared" si="1"/>
        <v>1</v>
      </c>
      <c r="BJ74" s="114">
        <f>PRODUCT($BI$5:BI74)</f>
        <v>0.35300762669611035</v>
      </c>
      <c r="BK74" s="112">
        <f>1 - Audit[[#This Row],[K-M P Value]]</f>
        <v>0.64699237330388959</v>
      </c>
      <c r="BL74" s="114" t="str">
        <f>IF(Audit[[#This Row],[K-M P Value]]&gt;1-'General Info'!$B$12,"Continue", "Stop")</f>
        <v>Continue</v>
      </c>
      <c r="BM74" s="113" t="b">
        <f>IF(Audit[[#This Row],[Status - Continue or stop audit]] = "Continue", TRUE, IF(BL73 = "Continue", TRUE, FALSE))</f>
        <v>1</v>
      </c>
      <c r="BN74" s="113"/>
    </row>
    <row r="75" spans="1:66" ht="15" hidden="1" customHeight="1" x14ac:dyDescent="0.35">
      <c r="A75" s="114" t="str">
        <f>'Sampling Data'!AI75</f>
        <v/>
      </c>
      <c r="B75" s="114" t="str">
        <f>'Sampling Data'!A75</f>
        <v>1001 CIN 10-A   (AV)</v>
      </c>
      <c r="C75" s="114">
        <f>'Sampling Data'!B75</f>
        <v>10</v>
      </c>
      <c r="D75" s="114">
        <f>'Sampling Data'!C75</f>
        <v>1</v>
      </c>
      <c r="E75" s="115">
        <f>'Sampling Data'!D75</f>
        <v>1</v>
      </c>
      <c r="F75" s="115">
        <f>'Sampling Data'!E75</f>
        <v>0</v>
      </c>
      <c r="G75" s="115">
        <f>'Sampling Data'!F75</f>
        <v>0</v>
      </c>
      <c r="H75" s="115">
        <f>'Sampling Data'!G75</f>
        <v>0</v>
      </c>
      <c r="I75" s="115">
        <f>'Sampling Data'!H75</f>
        <v>0</v>
      </c>
      <c r="J75" s="115">
        <f>'Sampling Data'!I75</f>
        <v>0</v>
      </c>
      <c r="K75" s="115">
        <f>'Sampling Data'!J75</f>
        <v>0</v>
      </c>
      <c r="L75" s="115">
        <f>'Sampling Data'!K75</f>
        <v>0</v>
      </c>
      <c r="M75" s="115">
        <f>'Sampling Data'!L75</f>
        <v>0</v>
      </c>
      <c r="N75" s="115">
        <f>'Sampling Data'!M75</f>
        <v>0</v>
      </c>
      <c r="O75" s="114">
        <f>'Sampling Data'!N75</f>
        <v>0</v>
      </c>
      <c r="P75" s="114">
        <f>'Sampling Data'!O75</f>
        <v>0</v>
      </c>
      <c r="Q75" s="114">
        <f>'Sampling Data'!P75</f>
        <v>12</v>
      </c>
      <c r="R75" s="114">
        <f>'Sampling Data'!AJ75</f>
        <v>0</v>
      </c>
      <c r="S75" s="116"/>
      <c r="T75" s="116"/>
      <c r="U75" s="117"/>
      <c r="V75" s="117"/>
      <c r="W75" s="116"/>
      <c r="X75" s="116"/>
      <c r="Y75" s="116"/>
      <c r="Z75" s="116"/>
      <c r="AA75" s="15"/>
      <c r="AB75" s="15"/>
      <c r="AC75" s="15"/>
      <c r="AD75" s="15"/>
      <c r="AE75" s="118" t="str">
        <f>IF(NOT(ISBLANK(Audit[[#This Row],[Audit Winning Candidate]])), Audit[[#This Row],[Audit Winning Candidate]]-Audit[[#This Row],[Winning Candidate]], "")</f>
        <v/>
      </c>
      <c r="AF75" s="114" t="str">
        <f>IF(NOT(ISBLANK(Audit[[#This Row],[Audit Losing Candidate]])), Audit[[#This Row],[Audit Losing Candidate]]-Audit[[#This Row],[Losing Candidate]], "")</f>
        <v/>
      </c>
      <c r="AG75" s="114" t="str">
        <f>IF(NOT(ISBLANK(Audit[[#This Row],[Audit Candidate 3]])), Audit[[#This Row],[Audit Candidate 3]]-Audit[[#This Row],[Candidate 3]], "")</f>
        <v/>
      </c>
      <c r="AH75" s="114" t="str">
        <f>IF(NOT(ISBLANK(Audit[[#This Row],[Audit Candidate 4]])),Audit[[#This Row],[Audit Candidate 4]]-Audit[[#This Row],[Candidate 4]], "")</f>
        <v/>
      </c>
      <c r="AI75" s="114" t="str">
        <f>IF(NOT(ISBLANK(Audit[[#This Row],[Audit Candidate 5]])), Audit[[#This Row],[Audit Candidate 5]]-Audit[[#This Row],[Candidate 5]], "")</f>
        <v/>
      </c>
      <c r="AJ75" s="114" t="str">
        <f>IF(NOT(ISBLANK(Audit[[#This Row],[Audit Candidate 6]])), Audit[[#This Row],[Audit Candidate 6]]-Audit[[#This Row],[Candidate 6]], "")</f>
        <v/>
      </c>
      <c r="AK75" s="114" t="str">
        <f>IF(NOT(ISBLANK(Audit[[#This Row],[Audit Candidate 7]])), Audit[[#This Row],[Audit Candidate 7]]-Audit[[#This Row],[Candidate 7]], "")</f>
        <v/>
      </c>
      <c r="AL75" s="114" t="str">
        <f>IF(NOT(ISBLANK(Audit[[#This Row],[Audit Candidate 8]])), Audit[[#This Row],[Audit Candidate 8]]-Audit[[#This Row],[Candidate 8]], "")</f>
        <v/>
      </c>
      <c r="AM75" s="114" t="str">
        <f>IF(NOT(ISBLANK(Audit[[#This Row],[Audit Candidate 9]])), Audit[[#This Row],[Audit Candidate 9]]-Audit[[#This Row],[Candidate 9]], "")</f>
        <v/>
      </c>
      <c r="AN75" s="114" t="str">
        <f>IF(NOT(ISBLANK(Audit[[#This Row],[Audit Candidate 10]])), Audit[[#This Row],[Audit Candidate 10]]-Audit[[#This Row],[Candidate 10]], "")</f>
        <v/>
      </c>
      <c r="AO75" s="114" t="str">
        <f>IF(NOT(ISBLANK(Audit[[#This Row],[Audit Candidate 11]])), Audit[[#This Row],[Audit Candidate 11]]-Audit[[#This Row],[Candidate 11]], "")</f>
        <v/>
      </c>
      <c r="AP75" s="114" t="str">
        <f>IF(NOT(ISBLANK(Audit[[#This Row],[Audit Candidate 12]])), Audit[[#This Row],[Audit Candidate 12]]-Audit[[#This Row],[Candidate 12]], "")</f>
        <v/>
      </c>
      <c r="AQ75" s="114">
        <f>SUMIF(Audit[[#This Row],[Difference Winner]:[Difference Candidate 12]], "&gt;0")</f>
        <v>0</v>
      </c>
      <c r="AR75" s="114">
        <f>SUM(Audit[[#This Row],[Difference Winner]:[Difference Candidate 12]])</f>
        <v>0</v>
      </c>
      <c r="AS75" s="114">
        <f>IF(Audit[[#This Row],[Times p Drawn - With Replacement]]&gt;0, IF(Audit[[#This Row],[Canceled Differences]]&lt;0, Audit[[#This Row],[Max Differences]]+ABS(Audit[[#This Row],[Canceled Differences]]), Audit[[#This Row],[Max Differences]]), 0)</f>
        <v>0</v>
      </c>
      <c r="AT75" s="114">
        <f>'Sampling Data'!AB75</f>
        <v>1.3273497250489855E-3</v>
      </c>
      <c r="AU75" s="114">
        <f>IF(
      SUM(Audit[[#This Row],[Audit Losing Candidate]:[Audit Candidate 12]])
      &lt;&gt;0,
      (Audit[[#This Row],[Winning Candidate]]-Audit[[#This Row],[Losing Candidate]]-(Audit[[#This Row],[Audit Winning Candidate]]-Audit[[#This Row],[Audit Losing Candidate]]))/(Audit[[#Totals],[Winning Candidate]]-Audit[[#Totals],[Losing Candidate]]),
      0
)</f>
        <v>0</v>
      </c>
      <c r="AV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5" s="114">
        <f>IF(Audit[[#This Row],[Max Relative Error (ep)]] = 0, 0, Audit[[#This Row],[Max Relative Error (ep)]]/Audit[[#This Row],[Error Bound (up) - Max. possible relative overstatement]])</f>
        <v>0</v>
      </c>
      <c r="BH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5" s="114">
        <f t="shared" si="1"/>
        <v>1</v>
      </c>
      <c r="BJ75" s="114">
        <f>PRODUCT($BI$5:BI75)</f>
        <v>0.35300762669611035</v>
      </c>
      <c r="BK75" s="112">
        <f>1 - Audit[[#This Row],[K-M P Value]]</f>
        <v>0.64699237330388959</v>
      </c>
      <c r="BL75" s="114" t="str">
        <f>IF(Audit[[#This Row],[K-M P Value]]&gt;1-'General Info'!$B$12,"Continue", "Stop")</f>
        <v>Continue</v>
      </c>
      <c r="BM75" s="113" t="b">
        <f>IF(Audit[[#This Row],[Status - Continue or stop audit]] = "Continue", TRUE, IF(BL74 = "Continue", TRUE, FALSE))</f>
        <v>1</v>
      </c>
      <c r="BN75" s="113"/>
    </row>
    <row r="76" spans="1:66" ht="15" hidden="1" customHeight="1" x14ac:dyDescent="0.35">
      <c r="A76" s="114" t="str">
        <f>'Sampling Data'!AI76</f>
        <v/>
      </c>
      <c r="B76" s="114" t="str">
        <f>'Sampling Data'!A76</f>
        <v>1002 CIN 10-B   (AV)</v>
      </c>
      <c r="C76" s="114">
        <f>'Sampling Data'!B76</f>
        <v>8</v>
      </c>
      <c r="D76" s="114">
        <f>'Sampling Data'!C76</f>
        <v>0</v>
      </c>
      <c r="E76" s="115">
        <f>'Sampling Data'!D76</f>
        <v>0</v>
      </c>
      <c r="F76" s="115">
        <f>'Sampling Data'!E76</f>
        <v>0</v>
      </c>
      <c r="G76" s="115">
        <f>'Sampling Data'!F76</f>
        <v>0</v>
      </c>
      <c r="H76" s="115">
        <f>'Sampling Data'!G76</f>
        <v>0</v>
      </c>
      <c r="I76" s="115">
        <f>'Sampling Data'!H76</f>
        <v>0</v>
      </c>
      <c r="J76" s="115">
        <f>'Sampling Data'!I76</f>
        <v>0</v>
      </c>
      <c r="K76" s="115">
        <f>'Sampling Data'!J76</f>
        <v>0</v>
      </c>
      <c r="L76" s="115">
        <f>'Sampling Data'!K76</f>
        <v>0</v>
      </c>
      <c r="M76" s="115">
        <f>'Sampling Data'!L76</f>
        <v>0</v>
      </c>
      <c r="N76" s="115">
        <f>'Sampling Data'!M76</f>
        <v>0</v>
      </c>
      <c r="O76" s="114">
        <f>'Sampling Data'!N76</f>
        <v>0</v>
      </c>
      <c r="P76" s="114">
        <f>'Sampling Data'!O76</f>
        <v>0</v>
      </c>
      <c r="Q76" s="114">
        <f>'Sampling Data'!P76</f>
        <v>8</v>
      </c>
      <c r="R76" s="114">
        <f>'Sampling Data'!AJ76</f>
        <v>0</v>
      </c>
      <c r="S76" s="116"/>
      <c r="T76" s="116"/>
      <c r="U76" s="117"/>
      <c r="V76" s="117"/>
      <c r="W76" s="116"/>
      <c r="X76" s="116"/>
      <c r="Y76" s="116"/>
      <c r="Z76" s="116"/>
      <c r="AA76" s="15"/>
      <c r="AB76" s="15"/>
      <c r="AC76" s="15"/>
      <c r="AD76" s="15"/>
      <c r="AE76" s="118" t="str">
        <f>IF(NOT(ISBLANK(Audit[[#This Row],[Audit Winning Candidate]])), Audit[[#This Row],[Audit Winning Candidate]]-Audit[[#This Row],[Winning Candidate]], "")</f>
        <v/>
      </c>
      <c r="AF76" s="114" t="str">
        <f>IF(NOT(ISBLANK(Audit[[#This Row],[Audit Losing Candidate]])), Audit[[#This Row],[Audit Losing Candidate]]-Audit[[#This Row],[Losing Candidate]], "")</f>
        <v/>
      </c>
      <c r="AG76" s="114" t="str">
        <f>IF(NOT(ISBLANK(Audit[[#This Row],[Audit Candidate 3]])), Audit[[#This Row],[Audit Candidate 3]]-Audit[[#This Row],[Candidate 3]], "")</f>
        <v/>
      </c>
      <c r="AH76" s="114" t="str">
        <f>IF(NOT(ISBLANK(Audit[[#This Row],[Audit Candidate 4]])),Audit[[#This Row],[Audit Candidate 4]]-Audit[[#This Row],[Candidate 4]], "")</f>
        <v/>
      </c>
      <c r="AI76" s="114" t="str">
        <f>IF(NOT(ISBLANK(Audit[[#This Row],[Audit Candidate 5]])), Audit[[#This Row],[Audit Candidate 5]]-Audit[[#This Row],[Candidate 5]], "")</f>
        <v/>
      </c>
      <c r="AJ76" s="114" t="str">
        <f>IF(NOT(ISBLANK(Audit[[#This Row],[Audit Candidate 6]])), Audit[[#This Row],[Audit Candidate 6]]-Audit[[#This Row],[Candidate 6]], "")</f>
        <v/>
      </c>
      <c r="AK76" s="114" t="str">
        <f>IF(NOT(ISBLANK(Audit[[#This Row],[Audit Candidate 7]])), Audit[[#This Row],[Audit Candidate 7]]-Audit[[#This Row],[Candidate 7]], "")</f>
        <v/>
      </c>
      <c r="AL76" s="114" t="str">
        <f>IF(NOT(ISBLANK(Audit[[#This Row],[Audit Candidate 8]])), Audit[[#This Row],[Audit Candidate 8]]-Audit[[#This Row],[Candidate 8]], "")</f>
        <v/>
      </c>
      <c r="AM76" s="114" t="str">
        <f>IF(NOT(ISBLANK(Audit[[#This Row],[Audit Candidate 9]])), Audit[[#This Row],[Audit Candidate 9]]-Audit[[#This Row],[Candidate 9]], "")</f>
        <v/>
      </c>
      <c r="AN76" s="114" t="str">
        <f>IF(NOT(ISBLANK(Audit[[#This Row],[Audit Candidate 10]])), Audit[[#This Row],[Audit Candidate 10]]-Audit[[#This Row],[Candidate 10]], "")</f>
        <v/>
      </c>
      <c r="AO76" s="114" t="str">
        <f>IF(NOT(ISBLANK(Audit[[#This Row],[Audit Candidate 11]])), Audit[[#This Row],[Audit Candidate 11]]-Audit[[#This Row],[Candidate 11]], "")</f>
        <v/>
      </c>
      <c r="AP76" s="114" t="str">
        <f>IF(NOT(ISBLANK(Audit[[#This Row],[Audit Candidate 12]])), Audit[[#This Row],[Audit Candidate 12]]-Audit[[#This Row],[Candidate 12]], "")</f>
        <v/>
      </c>
      <c r="AQ76" s="114">
        <f>SUMIF(Audit[[#This Row],[Difference Winner]:[Difference Candidate 12]], "&gt;0")</f>
        <v>0</v>
      </c>
      <c r="AR76" s="114">
        <f>SUM(Audit[[#This Row],[Difference Winner]:[Difference Candidate 12]])</f>
        <v>0</v>
      </c>
      <c r="AS76" s="114">
        <f>IF(Audit[[#This Row],[Times p Drawn - With Replacement]]&gt;0, IF(Audit[[#This Row],[Canceled Differences]]&lt;0, Audit[[#This Row],[Max Differences]]+ABS(Audit[[#This Row],[Canceled Differences]]), Audit[[#This Row],[Max Differences]]), 0)</f>
        <v>0</v>
      </c>
      <c r="AT76" s="114">
        <f>'Sampling Data'!AB76</f>
        <v>1.0113140762277985E-3</v>
      </c>
      <c r="AU76" s="114">
        <f>IF(
      SUM(Audit[[#This Row],[Audit Losing Candidate]:[Audit Candidate 12]])
      &lt;&gt;0,
      (Audit[[#This Row],[Winning Candidate]]-Audit[[#This Row],[Losing Candidate]]-(Audit[[#This Row],[Audit Winning Candidate]]-Audit[[#This Row],[Audit Losing Candidate]]))/(Audit[[#Totals],[Winning Candidate]]-Audit[[#Totals],[Losing Candidate]]),
      0
)</f>
        <v>0</v>
      </c>
      <c r="AV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6" s="114">
        <f>IF(Audit[[#This Row],[Max Relative Error (ep)]] = 0, 0, Audit[[#This Row],[Max Relative Error (ep)]]/Audit[[#This Row],[Error Bound (up) - Max. possible relative overstatement]])</f>
        <v>0</v>
      </c>
      <c r="BH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6" s="114">
        <f t="shared" si="1"/>
        <v>1</v>
      </c>
      <c r="BJ76" s="114">
        <f>PRODUCT($BI$5:BI76)</f>
        <v>0.35300762669611035</v>
      </c>
      <c r="BK76" s="112">
        <f>1 - Audit[[#This Row],[K-M P Value]]</f>
        <v>0.64699237330388959</v>
      </c>
      <c r="BL76" s="114" t="str">
        <f>IF(Audit[[#This Row],[K-M P Value]]&gt;1-'General Info'!$B$12,"Continue", "Stop")</f>
        <v>Continue</v>
      </c>
      <c r="BM76" s="113" t="b">
        <f>IF(Audit[[#This Row],[Status - Continue or stop audit]] = "Continue", TRUE, IF(BL75 = "Continue", TRUE, FALSE))</f>
        <v>1</v>
      </c>
      <c r="BN76" s="113"/>
    </row>
    <row r="77" spans="1:66" ht="15" hidden="1" customHeight="1" x14ac:dyDescent="0.35">
      <c r="A77" s="114" t="str">
        <f>'Sampling Data'!AI77</f>
        <v/>
      </c>
      <c r="B77" s="114" t="str">
        <f>'Sampling Data'!A77</f>
        <v>1003 CIN 10-C   (AV)</v>
      </c>
      <c r="C77" s="114">
        <f>'Sampling Data'!B77</f>
        <v>18</v>
      </c>
      <c r="D77" s="114">
        <f>'Sampling Data'!C77</f>
        <v>0</v>
      </c>
      <c r="E77" s="115">
        <f>'Sampling Data'!D77</f>
        <v>1</v>
      </c>
      <c r="F77" s="115">
        <f>'Sampling Data'!E77</f>
        <v>0</v>
      </c>
      <c r="G77" s="115">
        <f>'Sampling Data'!F77</f>
        <v>0</v>
      </c>
      <c r="H77" s="115">
        <f>'Sampling Data'!G77</f>
        <v>0</v>
      </c>
      <c r="I77" s="115">
        <f>'Sampling Data'!H77</f>
        <v>0</v>
      </c>
      <c r="J77" s="115">
        <f>'Sampling Data'!I77</f>
        <v>0</v>
      </c>
      <c r="K77" s="115">
        <f>'Sampling Data'!J77</f>
        <v>0</v>
      </c>
      <c r="L77" s="115">
        <f>'Sampling Data'!K77</f>
        <v>0</v>
      </c>
      <c r="M77" s="115">
        <f>'Sampling Data'!L77</f>
        <v>0</v>
      </c>
      <c r="N77" s="115">
        <f>'Sampling Data'!M77</f>
        <v>0</v>
      </c>
      <c r="O77" s="114">
        <f>'Sampling Data'!N77</f>
        <v>0</v>
      </c>
      <c r="P77" s="114">
        <f>'Sampling Data'!O77</f>
        <v>0</v>
      </c>
      <c r="Q77" s="114">
        <f>'Sampling Data'!P77</f>
        <v>19</v>
      </c>
      <c r="R77" s="114">
        <f>'Sampling Data'!AJ77</f>
        <v>0</v>
      </c>
      <c r="S77" s="116"/>
      <c r="T77" s="116"/>
      <c r="U77" s="117"/>
      <c r="V77" s="117"/>
      <c r="W77" s="116"/>
      <c r="X77" s="116"/>
      <c r="Y77" s="116"/>
      <c r="Z77" s="116"/>
      <c r="AA77" s="15"/>
      <c r="AB77" s="15"/>
      <c r="AC77" s="15"/>
      <c r="AD77" s="15"/>
      <c r="AE77" s="118" t="str">
        <f>IF(NOT(ISBLANK(Audit[[#This Row],[Audit Winning Candidate]])), Audit[[#This Row],[Audit Winning Candidate]]-Audit[[#This Row],[Winning Candidate]], "")</f>
        <v/>
      </c>
      <c r="AF77" s="114" t="str">
        <f>IF(NOT(ISBLANK(Audit[[#This Row],[Audit Losing Candidate]])), Audit[[#This Row],[Audit Losing Candidate]]-Audit[[#This Row],[Losing Candidate]], "")</f>
        <v/>
      </c>
      <c r="AG77" s="114" t="str">
        <f>IF(NOT(ISBLANK(Audit[[#This Row],[Audit Candidate 3]])), Audit[[#This Row],[Audit Candidate 3]]-Audit[[#This Row],[Candidate 3]], "")</f>
        <v/>
      </c>
      <c r="AH77" s="114" t="str">
        <f>IF(NOT(ISBLANK(Audit[[#This Row],[Audit Candidate 4]])),Audit[[#This Row],[Audit Candidate 4]]-Audit[[#This Row],[Candidate 4]], "")</f>
        <v/>
      </c>
      <c r="AI77" s="114" t="str">
        <f>IF(NOT(ISBLANK(Audit[[#This Row],[Audit Candidate 5]])), Audit[[#This Row],[Audit Candidate 5]]-Audit[[#This Row],[Candidate 5]], "")</f>
        <v/>
      </c>
      <c r="AJ77" s="114" t="str">
        <f>IF(NOT(ISBLANK(Audit[[#This Row],[Audit Candidate 6]])), Audit[[#This Row],[Audit Candidate 6]]-Audit[[#This Row],[Candidate 6]], "")</f>
        <v/>
      </c>
      <c r="AK77" s="114" t="str">
        <f>IF(NOT(ISBLANK(Audit[[#This Row],[Audit Candidate 7]])), Audit[[#This Row],[Audit Candidate 7]]-Audit[[#This Row],[Candidate 7]], "")</f>
        <v/>
      </c>
      <c r="AL77" s="114" t="str">
        <f>IF(NOT(ISBLANK(Audit[[#This Row],[Audit Candidate 8]])), Audit[[#This Row],[Audit Candidate 8]]-Audit[[#This Row],[Candidate 8]], "")</f>
        <v/>
      </c>
      <c r="AM77" s="114" t="str">
        <f>IF(NOT(ISBLANK(Audit[[#This Row],[Audit Candidate 9]])), Audit[[#This Row],[Audit Candidate 9]]-Audit[[#This Row],[Candidate 9]], "")</f>
        <v/>
      </c>
      <c r="AN77" s="114" t="str">
        <f>IF(NOT(ISBLANK(Audit[[#This Row],[Audit Candidate 10]])), Audit[[#This Row],[Audit Candidate 10]]-Audit[[#This Row],[Candidate 10]], "")</f>
        <v/>
      </c>
      <c r="AO77" s="114" t="str">
        <f>IF(NOT(ISBLANK(Audit[[#This Row],[Audit Candidate 11]])), Audit[[#This Row],[Audit Candidate 11]]-Audit[[#This Row],[Candidate 11]], "")</f>
        <v/>
      </c>
      <c r="AP77" s="114" t="str">
        <f>IF(NOT(ISBLANK(Audit[[#This Row],[Audit Candidate 12]])), Audit[[#This Row],[Audit Candidate 12]]-Audit[[#This Row],[Candidate 12]], "")</f>
        <v/>
      </c>
      <c r="AQ77" s="114">
        <f>SUMIF(Audit[[#This Row],[Difference Winner]:[Difference Candidate 12]], "&gt;0")</f>
        <v>0</v>
      </c>
      <c r="AR77" s="114">
        <f>SUM(Audit[[#This Row],[Difference Winner]:[Difference Candidate 12]])</f>
        <v>0</v>
      </c>
      <c r="AS77" s="114">
        <f>IF(Audit[[#This Row],[Times p Drawn - With Replacement]]&gt;0, IF(Audit[[#This Row],[Canceled Differences]]&lt;0, Audit[[#This Row],[Max Differences]]+ABS(Audit[[#This Row],[Canceled Differences]]), Audit[[#This Row],[Max Differences]]), 0)</f>
        <v>0</v>
      </c>
      <c r="AT77" s="114">
        <f>'Sampling Data'!AB77</f>
        <v>2.338663801276784E-3</v>
      </c>
      <c r="AU77" s="114">
        <f>IF(
      SUM(Audit[[#This Row],[Audit Losing Candidate]:[Audit Candidate 12]])
      &lt;&gt;0,
      (Audit[[#This Row],[Winning Candidate]]-Audit[[#This Row],[Losing Candidate]]-(Audit[[#This Row],[Audit Winning Candidate]]-Audit[[#This Row],[Audit Losing Candidate]]))/(Audit[[#Totals],[Winning Candidate]]-Audit[[#Totals],[Losing Candidate]]),
      0
)</f>
        <v>0</v>
      </c>
      <c r="AV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7" s="114">
        <f>IF(Audit[[#This Row],[Max Relative Error (ep)]] = 0, 0, Audit[[#This Row],[Max Relative Error (ep)]]/Audit[[#This Row],[Error Bound (up) - Max. possible relative overstatement]])</f>
        <v>0</v>
      </c>
      <c r="BH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7" s="114">
        <f t="shared" si="1"/>
        <v>1</v>
      </c>
      <c r="BJ77" s="114">
        <f>PRODUCT($BI$5:BI77)</f>
        <v>0.35300762669611035</v>
      </c>
      <c r="BK77" s="112">
        <f>1 - Audit[[#This Row],[K-M P Value]]</f>
        <v>0.64699237330388959</v>
      </c>
      <c r="BL77" s="114" t="str">
        <f>IF(Audit[[#This Row],[K-M P Value]]&gt;1-'General Info'!$B$12,"Continue", "Stop")</f>
        <v>Continue</v>
      </c>
      <c r="BM77" s="113" t="b">
        <f>IF(Audit[[#This Row],[Status - Continue or stop audit]] = "Continue", TRUE, IF(BL76 = "Continue", TRUE, FALSE))</f>
        <v>1</v>
      </c>
      <c r="BN77" s="113"/>
    </row>
    <row r="78" spans="1:66" ht="15" customHeight="1" x14ac:dyDescent="0.35">
      <c r="A78" s="114">
        <f>'Sampling Data'!AI78</f>
        <v>3</v>
      </c>
      <c r="B78" s="114" t="str">
        <f>'Sampling Data'!A78</f>
        <v>1101 CIN 11-A   (AV)</v>
      </c>
      <c r="C78" s="114">
        <f>'Sampling Data'!B78</f>
        <v>9</v>
      </c>
      <c r="D78" s="114">
        <f>'Sampling Data'!C78</f>
        <v>1</v>
      </c>
      <c r="E78" s="115">
        <f>'Sampling Data'!D78</f>
        <v>1</v>
      </c>
      <c r="F78" s="115">
        <f>'Sampling Data'!E78</f>
        <v>0</v>
      </c>
      <c r="G78" s="115">
        <f>'Sampling Data'!F78</f>
        <v>0</v>
      </c>
      <c r="H78" s="115">
        <f>'Sampling Data'!G78</f>
        <v>0</v>
      </c>
      <c r="I78" s="115">
        <f>'Sampling Data'!H78</f>
        <v>0</v>
      </c>
      <c r="J78" s="115">
        <f>'Sampling Data'!I78</f>
        <v>0</v>
      </c>
      <c r="K78" s="115">
        <f>'Sampling Data'!J78</f>
        <v>0</v>
      </c>
      <c r="L78" s="115">
        <f>'Sampling Data'!K78</f>
        <v>0</v>
      </c>
      <c r="M78" s="115">
        <f>'Sampling Data'!L78</f>
        <v>0</v>
      </c>
      <c r="N78" s="115">
        <f>'Sampling Data'!M78</f>
        <v>0</v>
      </c>
      <c r="O78" s="114">
        <f>'Sampling Data'!N78</f>
        <v>0</v>
      </c>
      <c r="P78" s="114">
        <f>'Sampling Data'!O78</f>
        <v>0</v>
      </c>
      <c r="Q78" s="114">
        <f>'Sampling Data'!P78</f>
        <v>11</v>
      </c>
      <c r="R78" s="114">
        <f>'Sampling Data'!AJ78</f>
        <v>1</v>
      </c>
      <c r="S78" s="116">
        <v>9</v>
      </c>
      <c r="T78" s="116">
        <v>1</v>
      </c>
      <c r="U78" s="117">
        <v>1</v>
      </c>
      <c r="V78" s="117"/>
      <c r="W78" s="116"/>
      <c r="X78" s="116"/>
      <c r="Y78" s="116"/>
      <c r="Z78" s="116"/>
      <c r="AA78" s="15"/>
      <c r="AB78" s="15"/>
      <c r="AC78" s="15"/>
      <c r="AD78" s="15"/>
      <c r="AE78" s="118">
        <f>IF(NOT(ISBLANK(Audit[[#This Row],[Audit Winning Candidate]])), Audit[[#This Row],[Audit Winning Candidate]]-Audit[[#This Row],[Winning Candidate]], "")</f>
        <v>0</v>
      </c>
      <c r="AF78" s="114">
        <f>IF(NOT(ISBLANK(Audit[[#This Row],[Audit Losing Candidate]])), Audit[[#This Row],[Audit Losing Candidate]]-Audit[[#This Row],[Losing Candidate]], "")</f>
        <v>0</v>
      </c>
      <c r="AG78" s="114">
        <f>IF(NOT(ISBLANK(Audit[[#This Row],[Audit Candidate 3]])), Audit[[#This Row],[Audit Candidate 3]]-Audit[[#This Row],[Candidate 3]], "")</f>
        <v>0</v>
      </c>
      <c r="AH78" s="114" t="str">
        <f>IF(NOT(ISBLANK(Audit[[#This Row],[Audit Candidate 4]])),Audit[[#This Row],[Audit Candidate 4]]-Audit[[#This Row],[Candidate 4]], "")</f>
        <v/>
      </c>
      <c r="AI78" s="114" t="str">
        <f>IF(NOT(ISBLANK(Audit[[#This Row],[Audit Candidate 5]])), Audit[[#This Row],[Audit Candidate 5]]-Audit[[#This Row],[Candidate 5]], "")</f>
        <v/>
      </c>
      <c r="AJ78" s="114" t="str">
        <f>IF(NOT(ISBLANK(Audit[[#This Row],[Audit Candidate 6]])), Audit[[#This Row],[Audit Candidate 6]]-Audit[[#This Row],[Candidate 6]], "")</f>
        <v/>
      </c>
      <c r="AK78" s="114" t="str">
        <f>IF(NOT(ISBLANK(Audit[[#This Row],[Audit Candidate 7]])), Audit[[#This Row],[Audit Candidate 7]]-Audit[[#This Row],[Candidate 7]], "")</f>
        <v/>
      </c>
      <c r="AL78" s="114" t="str">
        <f>IF(NOT(ISBLANK(Audit[[#This Row],[Audit Candidate 8]])), Audit[[#This Row],[Audit Candidate 8]]-Audit[[#This Row],[Candidate 8]], "")</f>
        <v/>
      </c>
      <c r="AM78" s="114" t="str">
        <f>IF(NOT(ISBLANK(Audit[[#This Row],[Audit Candidate 9]])), Audit[[#This Row],[Audit Candidate 9]]-Audit[[#This Row],[Candidate 9]], "")</f>
        <v/>
      </c>
      <c r="AN78" s="114" t="str">
        <f>IF(NOT(ISBLANK(Audit[[#This Row],[Audit Candidate 10]])), Audit[[#This Row],[Audit Candidate 10]]-Audit[[#This Row],[Candidate 10]], "")</f>
        <v/>
      </c>
      <c r="AO78" s="114" t="str">
        <f>IF(NOT(ISBLANK(Audit[[#This Row],[Audit Candidate 11]])), Audit[[#This Row],[Audit Candidate 11]]-Audit[[#This Row],[Candidate 11]], "")</f>
        <v/>
      </c>
      <c r="AP78" s="114" t="str">
        <f>IF(NOT(ISBLANK(Audit[[#This Row],[Audit Candidate 12]])), Audit[[#This Row],[Audit Candidate 12]]-Audit[[#This Row],[Candidate 12]], "")</f>
        <v/>
      </c>
      <c r="AQ78" s="114">
        <f>SUMIF(Audit[[#This Row],[Difference Winner]:[Difference Candidate 12]], "&gt;0")</f>
        <v>0</v>
      </c>
      <c r="AR78" s="114">
        <f>SUM(Audit[[#This Row],[Difference Winner]:[Difference Candidate 12]])</f>
        <v>0</v>
      </c>
      <c r="AS78" s="114">
        <f>IF(Audit[[#This Row],[Times p Drawn - With Replacement]]&gt;0, IF(Audit[[#This Row],[Canceled Differences]]&lt;0, Audit[[#This Row],[Max Differences]]+ABS(Audit[[#This Row],[Canceled Differences]]), Audit[[#This Row],[Max Differences]]), 0)</f>
        <v>0</v>
      </c>
      <c r="AT78" s="114">
        <f>'Sampling Data'!AB78</f>
        <v>1.2009354655205108E-3</v>
      </c>
      <c r="AU78" s="114">
        <f>IF(
      SUM(Audit[[#This Row],[Audit Losing Candidate]:[Audit Candidate 12]])
      &lt;&gt;0,
      (Audit[[#This Row],[Winning Candidate]]-Audit[[#This Row],[Losing Candidate]]-(Audit[[#This Row],[Audit Winning Candidate]]-Audit[[#This Row],[Audit Losing Candidate]]))/(Audit[[#Totals],[Winning Candidate]]-Audit[[#Totals],[Losing Candidate]]),
      0
)</f>
        <v>0</v>
      </c>
      <c r="AV78" s="114">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8" s="114">
        <f>IF(Audit[[#This Row],[Max Relative Error (ep)]] = 0, 0, Audit[[#This Row],[Max Relative Error (ep)]]/Audit[[#This Row],[Error Bound (up) - Max. possible relative overstatement]])</f>
        <v>0</v>
      </c>
      <c r="BH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8" s="114">
        <f t="shared" si="1"/>
        <v>0.59414444935226851</v>
      </c>
      <c r="BJ78" s="114">
        <f>PRODUCT($BI$5:BI78)</f>
        <v>0.20973752198051165</v>
      </c>
      <c r="BK78" s="112">
        <f>1 - Audit[[#This Row],[K-M P Value]]</f>
        <v>0.79026247801948835</v>
      </c>
      <c r="BL78" s="114" t="str">
        <f>IF(Audit[[#This Row],[K-M P Value]]&gt;1-'General Info'!$B$12,"Continue", "Stop")</f>
        <v>Continue</v>
      </c>
      <c r="BM78" s="113" t="b">
        <f>IF(Audit[[#This Row],[Status - Continue or stop audit]] = "Continue", TRUE, IF(BL77 = "Continue", TRUE, FALSE))</f>
        <v>1</v>
      </c>
      <c r="BN78" s="113"/>
    </row>
    <row r="79" spans="1:66" ht="15" hidden="1" customHeight="1" x14ac:dyDescent="0.35">
      <c r="A79" s="114" t="str">
        <f>'Sampling Data'!AI79</f>
        <v/>
      </c>
      <c r="B79" s="114" t="str">
        <f>'Sampling Data'!A79</f>
        <v>1102 CIN 11-B   (AV)</v>
      </c>
      <c r="C79" s="114">
        <f>'Sampling Data'!B79</f>
        <v>8</v>
      </c>
      <c r="D79" s="114">
        <f>'Sampling Data'!C79</f>
        <v>0</v>
      </c>
      <c r="E79" s="115">
        <f>'Sampling Data'!D79</f>
        <v>0</v>
      </c>
      <c r="F79" s="115">
        <f>'Sampling Data'!E79</f>
        <v>0</v>
      </c>
      <c r="G79" s="115">
        <f>'Sampling Data'!F79</f>
        <v>0</v>
      </c>
      <c r="H79" s="115">
        <f>'Sampling Data'!G79</f>
        <v>0</v>
      </c>
      <c r="I79" s="115">
        <f>'Sampling Data'!H79</f>
        <v>0</v>
      </c>
      <c r="J79" s="115">
        <f>'Sampling Data'!I79</f>
        <v>0</v>
      </c>
      <c r="K79" s="115">
        <f>'Sampling Data'!J79</f>
        <v>0</v>
      </c>
      <c r="L79" s="115">
        <f>'Sampling Data'!K79</f>
        <v>0</v>
      </c>
      <c r="M79" s="115">
        <f>'Sampling Data'!L79</f>
        <v>0</v>
      </c>
      <c r="N79" s="115">
        <f>'Sampling Data'!M79</f>
        <v>0</v>
      </c>
      <c r="O79" s="114">
        <f>'Sampling Data'!N79</f>
        <v>0</v>
      </c>
      <c r="P79" s="114">
        <f>'Sampling Data'!O79</f>
        <v>0</v>
      </c>
      <c r="Q79" s="114">
        <f>'Sampling Data'!P79</f>
        <v>8</v>
      </c>
      <c r="R79" s="114">
        <f>'Sampling Data'!AJ79</f>
        <v>0</v>
      </c>
      <c r="S79" s="116"/>
      <c r="T79" s="116"/>
      <c r="U79" s="117"/>
      <c r="V79" s="117"/>
      <c r="W79" s="116"/>
      <c r="X79" s="116"/>
      <c r="Y79" s="116"/>
      <c r="Z79" s="116"/>
      <c r="AA79" s="15"/>
      <c r="AB79" s="15"/>
      <c r="AC79" s="15"/>
      <c r="AD79" s="15"/>
      <c r="AE79" s="118" t="str">
        <f>IF(NOT(ISBLANK(Audit[[#This Row],[Audit Winning Candidate]])), Audit[[#This Row],[Audit Winning Candidate]]-Audit[[#This Row],[Winning Candidate]], "")</f>
        <v/>
      </c>
      <c r="AF79" s="114" t="str">
        <f>IF(NOT(ISBLANK(Audit[[#This Row],[Audit Losing Candidate]])), Audit[[#This Row],[Audit Losing Candidate]]-Audit[[#This Row],[Losing Candidate]], "")</f>
        <v/>
      </c>
      <c r="AG79" s="114" t="str">
        <f>IF(NOT(ISBLANK(Audit[[#This Row],[Audit Candidate 3]])), Audit[[#This Row],[Audit Candidate 3]]-Audit[[#This Row],[Candidate 3]], "")</f>
        <v/>
      </c>
      <c r="AH79" s="114" t="str">
        <f>IF(NOT(ISBLANK(Audit[[#This Row],[Audit Candidate 4]])),Audit[[#This Row],[Audit Candidate 4]]-Audit[[#This Row],[Candidate 4]], "")</f>
        <v/>
      </c>
      <c r="AI79" s="114" t="str">
        <f>IF(NOT(ISBLANK(Audit[[#This Row],[Audit Candidate 5]])), Audit[[#This Row],[Audit Candidate 5]]-Audit[[#This Row],[Candidate 5]], "")</f>
        <v/>
      </c>
      <c r="AJ79" s="114" t="str">
        <f>IF(NOT(ISBLANK(Audit[[#This Row],[Audit Candidate 6]])), Audit[[#This Row],[Audit Candidate 6]]-Audit[[#This Row],[Candidate 6]], "")</f>
        <v/>
      </c>
      <c r="AK79" s="114" t="str">
        <f>IF(NOT(ISBLANK(Audit[[#This Row],[Audit Candidate 7]])), Audit[[#This Row],[Audit Candidate 7]]-Audit[[#This Row],[Candidate 7]], "")</f>
        <v/>
      </c>
      <c r="AL79" s="114" t="str">
        <f>IF(NOT(ISBLANK(Audit[[#This Row],[Audit Candidate 8]])), Audit[[#This Row],[Audit Candidate 8]]-Audit[[#This Row],[Candidate 8]], "")</f>
        <v/>
      </c>
      <c r="AM79" s="114" t="str">
        <f>IF(NOT(ISBLANK(Audit[[#This Row],[Audit Candidate 9]])), Audit[[#This Row],[Audit Candidate 9]]-Audit[[#This Row],[Candidate 9]], "")</f>
        <v/>
      </c>
      <c r="AN79" s="114" t="str">
        <f>IF(NOT(ISBLANK(Audit[[#This Row],[Audit Candidate 10]])), Audit[[#This Row],[Audit Candidate 10]]-Audit[[#This Row],[Candidate 10]], "")</f>
        <v/>
      </c>
      <c r="AO79" s="114" t="str">
        <f>IF(NOT(ISBLANK(Audit[[#This Row],[Audit Candidate 11]])), Audit[[#This Row],[Audit Candidate 11]]-Audit[[#This Row],[Candidate 11]], "")</f>
        <v/>
      </c>
      <c r="AP79" s="114" t="str">
        <f>IF(NOT(ISBLANK(Audit[[#This Row],[Audit Candidate 12]])), Audit[[#This Row],[Audit Candidate 12]]-Audit[[#This Row],[Candidate 12]], "")</f>
        <v/>
      </c>
      <c r="AQ79" s="114">
        <f>SUMIF(Audit[[#This Row],[Difference Winner]:[Difference Candidate 12]], "&gt;0")</f>
        <v>0</v>
      </c>
      <c r="AR79" s="114">
        <f>SUM(Audit[[#This Row],[Difference Winner]:[Difference Candidate 12]])</f>
        <v>0</v>
      </c>
      <c r="AS79" s="114">
        <f>IF(Audit[[#This Row],[Times p Drawn - With Replacement]]&gt;0, IF(Audit[[#This Row],[Canceled Differences]]&lt;0, Audit[[#This Row],[Max Differences]]+ABS(Audit[[#This Row],[Canceled Differences]]), Audit[[#This Row],[Max Differences]]), 0)</f>
        <v>0</v>
      </c>
      <c r="AT79" s="114">
        <f>'Sampling Data'!AB79</f>
        <v>1.0113140762277985E-3</v>
      </c>
      <c r="AU79" s="114">
        <f>IF(
      SUM(Audit[[#This Row],[Audit Losing Candidate]:[Audit Candidate 12]])
      &lt;&gt;0,
      (Audit[[#This Row],[Winning Candidate]]-Audit[[#This Row],[Losing Candidate]]-(Audit[[#This Row],[Audit Winning Candidate]]-Audit[[#This Row],[Audit Losing Candidate]]))/(Audit[[#Totals],[Winning Candidate]]-Audit[[#Totals],[Losing Candidate]]),
      0
)</f>
        <v>0</v>
      </c>
      <c r="AV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9" s="114">
        <f>IF(Audit[[#This Row],[Max Relative Error (ep)]] = 0, 0, Audit[[#This Row],[Max Relative Error (ep)]]/Audit[[#This Row],[Error Bound (up) - Max. possible relative overstatement]])</f>
        <v>0</v>
      </c>
      <c r="BH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79" s="114">
        <f t="shared" ref="BI79:BI142" si="2">IF(ISERR(POWER(BH79,R79)), 0, POWER(BH79,R79))</f>
        <v>1</v>
      </c>
      <c r="BJ79" s="114">
        <f>PRODUCT($BI$5:BI79)</f>
        <v>0.20973752198051165</v>
      </c>
      <c r="BK79" s="112">
        <f>1 - Audit[[#This Row],[K-M P Value]]</f>
        <v>0.79026247801948835</v>
      </c>
      <c r="BL79" s="114" t="str">
        <f>IF(Audit[[#This Row],[K-M P Value]]&gt;1-'General Info'!$B$12,"Continue", "Stop")</f>
        <v>Continue</v>
      </c>
      <c r="BM79" s="113" t="b">
        <f>IF(Audit[[#This Row],[Status - Continue or stop audit]] = "Continue", TRUE, IF(BL78 = "Continue", TRUE, FALSE))</f>
        <v>1</v>
      </c>
      <c r="BN79" s="113"/>
    </row>
    <row r="80" spans="1:66" ht="15" hidden="1" customHeight="1" x14ac:dyDescent="0.35">
      <c r="A80" s="114" t="str">
        <f>'Sampling Data'!AI80</f>
        <v/>
      </c>
      <c r="B80" s="114" t="str">
        <f>'Sampling Data'!A80</f>
        <v>1103 CIN 11-C   (AV)</v>
      </c>
      <c r="C80" s="114">
        <f>'Sampling Data'!B80</f>
        <v>1</v>
      </c>
      <c r="D80" s="114">
        <f>'Sampling Data'!C80</f>
        <v>2</v>
      </c>
      <c r="E80" s="115">
        <f>'Sampling Data'!D80</f>
        <v>0</v>
      </c>
      <c r="F80" s="115">
        <f>'Sampling Data'!E80</f>
        <v>0</v>
      </c>
      <c r="G80" s="115">
        <f>'Sampling Data'!F80</f>
        <v>0</v>
      </c>
      <c r="H80" s="115">
        <f>'Sampling Data'!G80</f>
        <v>0</v>
      </c>
      <c r="I80" s="115">
        <f>'Sampling Data'!H80</f>
        <v>0</v>
      </c>
      <c r="J80" s="115">
        <f>'Sampling Data'!I80</f>
        <v>0</v>
      </c>
      <c r="K80" s="115">
        <f>'Sampling Data'!J80</f>
        <v>0</v>
      </c>
      <c r="L80" s="115">
        <f>'Sampling Data'!K80</f>
        <v>0</v>
      </c>
      <c r="M80" s="115">
        <f>'Sampling Data'!L80</f>
        <v>0</v>
      </c>
      <c r="N80" s="115">
        <f>'Sampling Data'!M80</f>
        <v>0</v>
      </c>
      <c r="O80" s="114">
        <f>'Sampling Data'!N80</f>
        <v>0</v>
      </c>
      <c r="P80" s="114">
        <f>'Sampling Data'!O80</f>
        <v>0</v>
      </c>
      <c r="Q80" s="114">
        <f>'Sampling Data'!P80</f>
        <v>3</v>
      </c>
      <c r="R80" s="114">
        <f>'Sampling Data'!AJ80</f>
        <v>0</v>
      </c>
      <c r="S80" s="116"/>
      <c r="T80" s="116"/>
      <c r="U80" s="117"/>
      <c r="V80" s="117"/>
      <c r="W80" s="116"/>
      <c r="X80" s="116"/>
      <c r="Y80" s="116"/>
      <c r="Z80" s="116"/>
      <c r="AA80" s="15"/>
      <c r="AB80" s="15"/>
      <c r="AC80" s="15"/>
      <c r="AD80" s="15"/>
      <c r="AE80" s="118" t="str">
        <f>IF(NOT(ISBLANK(Audit[[#This Row],[Audit Winning Candidate]])), Audit[[#This Row],[Audit Winning Candidate]]-Audit[[#This Row],[Winning Candidate]], "")</f>
        <v/>
      </c>
      <c r="AF80" s="114" t="str">
        <f>IF(NOT(ISBLANK(Audit[[#This Row],[Audit Losing Candidate]])), Audit[[#This Row],[Audit Losing Candidate]]-Audit[[#This Row],[Losing Candidate]], "")</f>
        <v/>
      </c>
      <c r="AG80" s="114" t="str">
        <f>IF(NOT(ISBLANK(Audit[[#This Row],[Audit Candidate 3]])), Audit[[#This Row],[Audit Candidate 3]]-Audit[[#This Row],[Candidate 3]], "")</f>
        <v/>
      </c>
      <c r="AH80" s="114" t="str">
        <f>IF(NOT(ISBLANK(Audit[[#This Row],[Audit Candidate 4]])),Audit[[#This Row],[Audit Candidate 4]]-Audit[[#This Row],[Candidate 4]], "")</f>
        <v/>
      </c>
      <c r="AI80" s="114" t="str">
        <f>IF(NOT(ISBLANK(Audit[[#This Row],[Audit Candidate 5]])), Audit[[#This Row],[Audit Candidate 5]]-Audit[[#This Row],[Candidate 5]], "")</f>
        <v/>
      </c>
      <c r="AJ80" s="114" t="str">
        <f>IF(NOT(ISBLANK(Audit[[#This Row],[Audit Candidate 6]])), Audit[[#This Row],[Audit Candidate 6]]-Audit[[#This Row],[Candidate 6]], "")</f>
        <v/>
      </c>
      <c r="AK80" s="114" t="str">
        <f>IF(NOT(ISBLANK(Audit[[#This Row],[Audit Candidate 7]])), Audit[[#This Row],[Audit Candidate 7]]-Audit[[#This Row],[Candidate 7]], "")</f>
        <v/>
      </c>
      <c r="AL80" s="114" t="str">
        <f>IF(NOT(ISBLANK(Audit[[#This Row],[Audit Candidate 8]])), Audit[[#This Row],[Audit Candidate 8]]-Audit[[#This Row],[Candidate 8]], "")</f>
        <v/>
      </c>
      <c r="AM80" s="114" t="str">
        <f>IF(NOT(ISBLANK(Audit[[#This Row],[Audit Candidate 9]])), Audit[[#This Row],[Audit Candidate 9]]-Audit[[#This Row],[Candidate 9]], "")</f>
        <v/>
      </c>
      <c r="AN80" s="114" t="str">
        <f>IF(NOT(ISBLANK(Audit[[#This Row],[Audit Candidate 10]])), Audit[[#This Row],[Audit Candidate 10]]-Audit[[#This Row],[Candidate 10]], "")</f>
        <v/>
      </c>
      <c r="AO80" s="114" t="str">
        <f>IF(NOT(ISBLANK(Audit[[#This Row],[Audit Candidate 11]])), Audit[[#This Row],[Audit Candidate 11]]-Audit[[#This Row],[Candidate 11]], "")</f>
        <v/>
      </c>
      <c r="AP80" s="114" t="str">
        <f>IF(NOT(ISBLANK(Audit[[#This Row],[Audit Candidate 12]])), Audit[[#This Row],[Audit Candidate 12]]-Audit[[#This Row],[Candidate 12]], "")</f>
        <v/>
      </c>
      <c r="AQ80" s="114">
        <f>SUMIF(Audit[[#This Row],[Difference Winner]:[Difference Candidate 12]], "&gt;0")</f>
        <v>0</v>
      </c>
      <c r="AR80" s="114">
        <f>SUM(Audit[[#This Row],[Difference Winner]:[Difference Candidate 12]])</f>
        <v>0</v>
      </c>
      <c r="AS80" s="114">
        <f>IF(Audit[[#This Row],[Times p Drawn - With Replacement]]&gt;0, IF(Audit[[#This Row],[Canceled Differences]]&lt;0, Audit[[#This Row],[Max Differences]]+ABS(Audit[[#This Row],[Canceled Differences]]), Audit[[#This Row],[Max Differences]]), 0)</f>
        <v>0</v>
      </c>
      <c r="AT80" s="114">
        <f>'Sampling Data'!AB80</f>
        <v>2.2578460149017836E-4</v>
      </c>
      <c r="AU80" s="114">
        <f>IF(
      SUM(Audit[[#This Row],[Audit Losing Candidate]:[Audit Candidate 12]])
      &lt;&gt;0,
      (Audit[[#This Row],[Winning Candidate]]-Audit[[#This Row],[Losing Candidate]]-(Audit[[#This Row],[Audit Winning Candidate]]-Audit[[#This Row],[Audit Losing Candidate]]))/(Audit[[#Totals],[Winning Candidate]]-Audit[[#Totals],[Losing Candidate]]),
      0
)</f>
        <v>0</v>
      </c>
      <c r="AV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0" s="114">
        <f>IF(Audit[[#This Row],[Max Relative Error (ep)]] = 0, 0, Audit[[#This Row],[Max Relative Error (ep)]]/Audit[[#This Row],[Error Bound (up) - Max. possible relative overstatement]])</f>
        <v>0</v>
      </c>
      <c r="BH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0" s="114">
        <f t="shared" si="2"/>
        <v>1</v>
      </c>
      <c r="BJ80" s="114">
        <f>PRODUCT($BI$5:BI80)</f>
        <v>0.20973752198051165</v>
      </c>
      <c r="BK80" s="112">
        <f>1 - Audit[[#This Row],[K-M P Value]]</f>
        <v>0.79026247801948835</v>
      </c>
      <c r="BL80" s="114" t="str">
        <f>IF(Audit[[#This Row],[K-M P Value]]&gt;1-'General Info'!$B$12,"Continue", "Stop")</f>
        <v>Continue</v>
      </c>
      <c r="BM80" s="113" t="b">
        <f>IF(Audit[[#This Row],[Status - Continue or stop audit]] = "Continue", TRUE, IF(BL79 = "Continue", TRUE, FALSE))</f>
        <v>1</v>
      </c>
      <c r="BN80" s="113"/>
    </row>
    <row r="81" spans="1:66" ht="15" hidden="1" customHeight="1" x14ac:dyDescent="0.35">
      <c r="A81" s="114" t="str">
        <f>'Sampling Data'!AI81</f>
        <v/>
      </c>
      <c r="B81" s="114" t="str">
        <f>'Sampling Data'!A81</f>
        <v>1104 CIN 11-D   (AV)</v>
      </c>
      <c r="C81" s="114">
        <f>'Sampling Data'!B81</f>
        <v>14</v>
      </c>
      <c r="D81" s="114">
        <f>'Sampling Data'!C81</f>
        <v>1</v>
      </c>
      <c r="E81" s="115">
        <f>'Sampling Data'!D81</f>
        <v>1</v>
      </c>
      <c r="F81" s="115">
        <f>'Sampling Data'!E81</f>
        <v>0</v>
      </c>
      <c r="G81" s="115">
        <f>'Sampling Data'!F81</f>
        <v>0</v>
      </c>
      <c r="H81" s="115">
        <f>'Sampling Data'!G81</f>
        <v>0</v>
      </c>
      <c r="I81" s="115">
        <f>'Sampling Data'!H81</f>
        <v>0</v>
      </c>
      <c r="J81" s="115">
        <f>'Sampling Data'!I81</f>
        <v>0</v>
      </c>
      <c r="K81" s="115">
        <f>'Sampling Data'!J81</f>
        <v>0</v>
      </c>
      <c r="L81" s="115">
        <f>'Sampling Data'!K81</f>
        <v>0</v>
      </c>
      <c r="M81" s="115">
        <f>'Sampling Data'!L81</f>
        <v>0</v>
      </c>
      <c r="N81" s="115">
        <f>'Sampling Data'!M81</f>
        <v>0</v>
      </c>
      <c r="O81" s="114">
        <f>'Sampling Data'!N81</f>
        <v>0</v>
      </c>
      <c r="P81" s="114">
        <f>'Sampling Data'!O81</f>
        <v>0</v>
      </c>
      <c r="Q81" s="114">
        <f>'Sampling Data'!P81</f>
        <v>16</v>
      </c>
      <c r="R81" s="114">
        <f>'Sampling Data'!AJ81</f>
        <v>0</v>
      </c>
      <c r="S81" s="116"/>
      <c r="T81" s="116"/>
      <c r="U81" s="117"/>
      <c r="V81" s="117"/>
      <c r="W81" s="116"/>
      <c r="X81" s="116"/>
      <c r="Y81" s="116"/>
      <c r="Z81" s="116"/>
      <c r="AA81" s="15"/>
      <c r="AB81" s="15"/>
      <c r="AC81" s="15"/>
      <c r="AD81" s="15"/>
      <c r="AE81" s="118" t="str">
        <f>IF(NOT(ISBLANK(Audit[[#This Row],[Audit Winning Candidate]])), Audit[[#This Row],[Audit Winning Candidate]]-Audit[[#This Row],[Winning Candidate]], "")</f>
        <v/>
      </c>
      <c r="AF81" s="114" t="str">
        <f>IF(NOT(ISBLANK(Audit[[#This Row],[Audit Losing Candidate]])), Audit[[#This Row],[Audit Losing Candidate]]-Audit[[#This Row],[Losing Candidate]], "")</f>
        <v/>
      </c>
      <c r="AG81" s="114" t="str">
        <f>IF(NOT(ISBLANK(Audit[[#This Row],[Audit Candidate 3]])), Audit[[#This Row],[Audit Candidate 3]]-Audit[[#This Row],[Candidate 3]], "")</f>
        <v/>
      </c>
      <c r="AH81" s="114" t="str">
        <f>IF(NOT(ISBLANK(Audit[[#This Row],[Audit Candidate 4]])),Audit[[#This Row],[Audit Candidate 4]]-Audit[[#This Row],[Candidate 4]], "")</f>
        <v/>
      </c>
      <c r="AI81" s="114" t="str">
        <f>IF(NOT(ISBLANK(Audit[[#This Row],[Audit Candidate 5]])), Audit[[#This Row],[Audit Candidate 5]]-Audit[[#This Row],[Candidate 5]], "")</f>
        <v/>
      </c>
      <c r="AJ81" s="114" t="str">
        <f>IF(NOT(ISBLANK(Audit[[#This Row],[Audit Candidate 6]])), Audit[[#This Row],[Audit Candidate 6]]-Audit[[#This Row],[Candidate 6]], "")</f>
        <v/>
      </c>
      <c r="AK81" s="114" t="str">
        <f>IF(NOT(ISBLANK(Audit[[#This Row],[Audit Candidate 7]])), Audit[[#This Row],[Audit Candidate 7]]-Audit[[#This Row],[Candidate 7]], "")</f>
        <v/>
      </c>
      <c r="AL81" s="114" t="str">
        <f>IF(NOT(ISBLANK(Audit[[#This Row],[Audit Candidate 8]])), Audit[[#This Row],[Audit Candidate 8]]-Audit[[#This Row],[Candidate 8]], "")</f>
        <v/>
      </c>
      <c r="AM81" s="114" t="str">
        <f>IF(NOT(ISBLANK(Audit[[#This Row],[Audit Candidate 9]])), Audit[[#This Row],[Audit Candidate 9]]-Audit[[#This Row],[Candidate 9]], "")</f>
        <v/>
      </c>
      <c r="AN81" s="114" t="str">
        <f>IF(NOT(ISBLANK(Audit[[#This Row],[Audit Candidate 10]])), Audit[[#This Row],[Audit Candidate 10]]-Audit[[#This Row],[Candidate 10]], "")</f>
        <v/>
      </c>
      <c r="AO81" s="114" t="str">
        <f>IF(NOT(ISBLANK(Audit[[#This Row],[Audit Candidate 11]])), Audit[[#This Row],[Audit Candidate 11]]-Audit[[#This Row],[Candidate 11]], "")</f>
        <v/>
      </c>
      <c r="AP81" s="114" t="str">
        <f>IF(NOT(ISBLANK(Audit[[#This Row],[Audit Candidate 12]])), Audit[[#This Row],[Audit Candidate 12]]-Audit[[#This Row],[Candidate 12]], "")</f>
        <v/>
      </c>
      <c r="AQ81" s="114">
        <f>SUMIF(Audit[[#This Row],[Difference Winner]:[Difference Candidate 12]], "&gt;0")</f>
        <v>0</v>
      </c>
      <c r="AR81" s="114">
        <f>SUM(Audit[[#This Row],[Difference Winner]:[Difference Candidate 12]])</f>
        <v>0</v>
      </c>
      <c r="AS81" s="114">
        <f>IF(Audit[[#This Row],[Times p Drawn - With Replacement]]&gt;0, IF(Audit[[#This Row],[Canceled Differences]]&lt;0, Audit[[#This Row],[Max Differences]]+ABS(Audit[[#This Row],[Canceled Differences]]), Audit[[#This Row],[Max Differences]]), 0)</f>
        <v>0</v>
      </c>
      <c r="AT81" s="114">
        <f>'Sampling Data'!AB81</f>
        <v>1.8330067631628848E-3</v>
      </c>
      <c r="AU81" s="114">
        <f>IF(
      SUM(Audit[[#This Row],[Audit Losing Candidate]:[Audit Candidate 12]])
      &lt;&gt;0,
      (Audit[[#This Row],[Winning Candidate]]-Audit[[#This Row],[Losing Candidate]]-(Audit[[#This Row],[Audit Winning Candidate]]-Audit[[#This Row],[Audit Losing Candidate]]))/(Audit[[#Totals],[Winning Candidate]]-Audit[[#Totals],[Losing Candidate]]),
      0
)</f>
        <v>0</v>
      </c>
      <c r="AV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1" s="114">
        <f>IF(Audit[[#This Row],[Max Relative Error (ep)]] = 0, 0, Audit[[#This Row],[Max Relative Error (ep)]]/Audit[[#This Row],[Error Bound (up) - Max. possible relative overstatement]])</f>
        <v>0</v>
      </c>
      <c r="BH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1" s="114">
        <f t="shared" si="2"/>
        <v>1</v>
      </c>
      <c r="BJ81" s="114">
        <f>PRODUCT($BI$5:BI81)</f>
        <v>0.20973752198051165</v>
      </c>
      <c r="BK81" s="112">
        <f>1 - Audit[[#This Row],[K-M P Value]]</f>
        <v>0.79026247801948835</v>
      </c>
      <c r="BL81" s="114" t="str">
        <f>IF(Audit[[#This Row],[K-M P Value]]&gt;1-'General Info'!$B$12,"Continue", "Stop")</f>
        <v>Continue</v>
      </c>
      <c r="BM81" s="113" t="b">
        <f>IF(Audit[[#This Row],[Status - Continue or stop audit]] = "Continue", TRUE, IF(BL80 = "Continue", TRUE, FALSE))</f>
        <v>1</v>
      </c>
      <c r="BN81" s="113"/>
    </row>
    <row r="82" spans="1:66" ht="15" hidden="1" customHeight="1" x14ac:dyDescent="0.35">
      <c r="A82" s="114" t="str">
        <f>'Sampling Data'!AI82</f>
        <v/>
      </c>
      <c r="B82" s="114" t="str">
        <f>'Sampling Data'!A82</f>
        <v>1201 CIN 12-A   (AV)</v>
      </c>
      <c r="C82" s="114">
        <f>'Sampling Data'!B82</f>
        <v>5</v>
      </c>
      <c r="D82" s="114">
        <f>'Sampling Data'!C82</f>
        <v>1</v>
      </c>
      <c r="E82" s="115">
        <f>'Sampling Data'!D82</f>
        <v>0</v>
      </c>
      <c r="F82" s="115">
        <f>'Sampling Data'!E82</f>
        <v>0</v>
      </c>
      <c r="G82" s="115">
        <f>'Sampling Data'!F82</f>
        <v>0</v>
      </c>
      <c r="H82" s="115">
        <f>'Sampling Data'!G82</f>
        <v>0</v>
      </c>
      <c r="I82" s="115">
        <f>'Sampling Data'!H82</f>
        <v>0</v>
      </c>
      <c r="J82" s="115">
        <f>'Sampling Data'!I82</f>
        <v>0</v>
      </c>
      <c r="K82" s="115">
        <f>'Sampling Data'!J82</f>
        <v>0</v>
      </c>
      <c r="L82" s="115">
        <f>'Sampling Data'!K82</f>
        <v>0</v>
      </c>
      <c r="M82" s="115">
        <f>'Sampling Data'!L82</f>
        <v>0</v>
      </c>
      <c r="N82" s="115">
        <f>'Sampling Data'!M82</f>
        <v>0</v>
      </c>
      <c r="O82" s="114">
        <f>'Sampling Data'!N82</f>
        <v>0</v>
      </c>
      <c r="P82" s="114">
        <f>'Sampling Data'!O82</f>
        <v>0</v>
      </c>
      <c r="Q82" s="114">
        <f>'Sampling Data'!P82</f>
        <v>6</v>
      </c>
      <c r="R82" s="114">
        <f>'Sampling Data'!AJ82</f>
        <v>0</v>
      </c>
      <c r="S82" s="116"/>
      <c r="T82" s="116"/>
      <c r="U82" s="117"/>
      <c r="V82" s="117"/>
      <c r="W82" s="116"/>
      <c r="X82" s="116"/>
      <c r="Y82" s="116"/>
      <c r="Z82" s="116"/>
      <c r="AA82" s="15"/>
      <c r="AB82" s="15"/>
      <c r="AC82" s="15"/>
      <c r="AD82" s="15"/>
      <c r="AE82" s="118" t="str">
        <f>IF(NOT(ISBLANK(Audit[[#This Row],[Audit Winning Candidate]])), Audit[[#This Row],[Audit Winning Candidate]]-Audit[[#This Row],[Winning Candidate]], "")</f>
        <v/>
      </c>
      <c r="AF82" s="114" t="str">
        <f>IF(NOT(ISBLANK(Audit[[#This Row],[Audit Losing Candidate]])), Audit[[#This Row],[Audit Losing Candidate]]-Audit[[#This Row],[Losing Candidate]], "")</f>
        <v/>
      </c>
      <c r="AG82" s="114" t="str">
        <f>IF(NOT(ISBLANK(Audit[[#This Row],[Audit Candidate 3]])), Audit[[#This Row],[Audit Candidate 3]]-Audit[[#This Row],[Candidate 3]], "")</f>
        <v/>
      </c>
      <c r="AH82" s="114" t="str">
        <f>IF(NOT(ISBLANK(Audit[[#This Row],[Audit Candidate 4]])),Audit[[#This Row],[Audit Candidate 4]]-Audit[[#This Row],[Candidate 4]], "")</f>
        <v/>
      </c>
      <c r="AI82" s="114" t="str">
        <f>IF(NOT(ISBLANK(Audit[[#This Row],[Audit Candidate 5]])), Audit[[#This Row],[Audit Candidate 5]]-Audit[[#This Row],[Candidate 5]], "")</f>
        <v/>
      </c>
      <c r="AJ82" s="114" t="str">
        <f>IF(NOT(ISBLANK(Audit[[#This Row],[Audit Candidate 6]])), Audit[[#This Row],[Audit Candidate 6]]-Audit[[#This Row],[Candidate 6]], "")</f>
        <v/>
      </c>
      <c r="AK82" s="114" t="str">
        <f>IF(NOT(ISBLANK(Audit[[#This Row],[Audit Candidate 7]])), Audit[[#This Row],[Audit Candidate 7]]-Audit[[#This Row],[Candidate 7]], "")</f>
        <v/>
      </c>
      <c r="AL82" s="114" t="str">
        <f>IF(NOT(ISBLANK(Audit[[#This Row],[Audit Candidate 8]])), Audit[[#This Row],[Audit Candidate 8]]-Audit[[#This Row],[Candidate 8]], "")</f>
        <v/>
      </c>
      <c r="AM82" s="114" t="str">
        <f>IF(NOT(ISBLANK(Audit[[#This Row],[Audit Candidate 9]])), Audit[[#This Row],[Audit Candidate 9]]-Audit[[#This Row],[Candidate 9]], "")</f>
        <v/>
      </c>
      <c r="AN82" s="114" t="str">
        <f>IF(NOT(ISBLANK(Audit[[#This Row],[Audit Candidate 10]])), Audit[[#This Row],[Audit Candidate 10]]-Audit[[#This Row],[Candidate 10]], "")</f>
        <v/>
      </c>
      <c r="AO82" s="114" t="str">
        <f>IF(NOT(ISBLANK(Audit[[#This Row],[Audit Candidate 11]])), Audit[[#This Row],[Audit Candidate 11]]-Audit[[#This Row],[Candidate 11]], "")</f>
        <v/>
      </c>
      <c r="AP82" s="114" t="str">
        <f>IF(NOT(ISBLANK(Audit[[#This Row],[Audit Candidate 12]])), Audit[[#This Row],[Audit Candidate 12]]-Audit[[#This Row],[Candidate 12]], "")</f>
        <v/>
      </c>
      <c r="AQ82" s="114">
        <f>SUMIF(Audit[[#This Row],[Difference Winner]:[Difference Candidate 12]], "&gt;0")</f>
        <v>0</v>
      </c>
      <c r="AR82" s="114">
        <f>SUM(Audit[[#This Row],[Difference Winner]:[Difference Candidate 12]])</f>
        <v>0</v>
      </c>
      <c r="AS82" s="114">
        <f>IF(Audit[[#This Row],[Times p Drawn - With Replacement]]&gt;0, IF(Audit[[#This Row],[Canceled Differences]]&lt;0, Audit[[#This Row],[Max Differences]]+ABS(Audit[[#This Row],[Canceled Differences]]), Audit[[#This Row],[Max Differences]]), 0)</f>
        <v>0</v>
      </c>
      <c r="AT82" s="114">
        <f>'Sampling Data'!AB82</f>
        <v>6.3207129764237407E-4</v>
      </c>
      <c r="AU82" s="114">
        <f>IF(
      SUM(Audit[[#This Row],[Audit Losing Candidate]:[Audit Candidate 12]])
      &lt;&gt;0,
      (Audit[[#This Row],[Winning Candidate]]-Audit[[#This Row],[Losing Candidate]]-(Audit[[#This Row],[Audit Winning Candidate]]-Audit[[#This Row],[Audit Losing Candidate]]))/(Audit[[#Totals],[Winning Candidate]]-Audit[[#Totals],[Losing Candidate]]),
      0
)</f>
        <v>0</v>
      </c>
      <c r="AV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2" s="114">
        <f>IF(Audit[[#This Row],[Max Relative Error (ep)]] = 0, 0, Audit[[#This Row],[Max Relative Error (ep)]]/Audit[[#This Row],[Error Bound (up) - Max. possible relative overstatement]])</f>
        <v>0</v>
      </c>
      <c r="BH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2" s="114">
        <f t="shared" si="2"/>
        <v>1</v>
      </c>
      <c r="BJ82" s="114">
        <f>PRODUCT($BI$5:BI82)</f>
        <v>0.20973752198051165</v>
      </c>
      <c r="BK82" s="112">
        <f>1 - Audit[[#This Row],[K-M P Value]]</f>
        <v>0.79026247801948835</v>
      </c>
      <c r="BL82" s="114" t="str">
        <f>IF(Audit[[#This Row],[K-M P Value]]&gt;1-'General Info'!$B$12,"Continue", "Stop")</f>
        <v>Continue</v>
      </c>
      <c r="BM82" s="113" t="b">
        <f>IF(Audit[[#This Row],[Status - Continue or stop audit]] = "Continue", TRUE, IF(BL81 = "Continue", TRUE, FALSE))</f>
        <v>1</v>
      </c>
      <c r="BN82" s="113"/>
    </row>
    <row r="83" spans="1:66" ht="15" hidden="1" customHeight="1" x14ac:dyDescent="0.35">
      <c r="A83" s="114" t="str">
        <f>'Sampling Data'!AI83</f>
        <v/>
      </c>
      <c r="B83" s="114" t="str">
        <f>'Sampling Data'!A83</f>
        <v>1202 CIN 12-B   (AV)</v>
      </c>
      <c r="C83" s="114">
        <f>'Sampling Data'!B83</f>
        <v>0</v>
      </c>
      <c r="D83" s="114">
        <f>'Sampling Data'!C83</f>
        <v>0</v>
      </c>
      <c r="E83" s="115">
        <f>'Sampling Data'!D83</f>
        <v>0</v>
      </c>
      <c r="F83" s="115">
        <f>'Sampling Data'!E83</f>
        <v>0</v>
      </c>
      <c r="G83" s="115">
        <f>'Sampling Data'!F83</f>
        <v>0</v>
      </c>
      <c r="H83" s="115">
        <f>'Sampling Data'!G83</f>
        <v>0</v>
      </c>
      <c r="I83" s="115">
        <f>'Sampling Data'!H83</f>
        <v>0</v>
      </c>
      <c r="J83" s="115">
        <f>'Sampling Data'!I83</f>
        <v>0</v>
      </c>
      <c r="K83" s="115">
        <f>'Sampling Data'!J83</f>
        <v>0</v>
      </c>
      <c r="L83" s="115">
        <f>'Sampling Data'!K83</f>
        <v>0</v>
      </c>
      <c r="M83" s="115">
        <f>'Sampling Data'!L83</f>
        <v>0</v>
      </c>
      <c r="N83" s="115">
        <f>'Sampling Data'!M83</f>
        <v>0</v>
      </c>
      <c r="O83" s="114">
        <f>'Sampling Data'!N83</f>
        <v>0</v>
      </c>
      <c r="P83" s="114">
        <f>'Sampling Data'!O83</f>
        <v>0</v>
      </c>
      <c r="Q83" s="114">
        <f>'Sampling Data'!P83</f>
        <v>0</v>
      </c>
      <c r="R83" s="114">
        <f>'Sampling Data'!AJ83</f>
        <v>0</v>
      </c>
      <c r="S83" s="116"/>
      <c r="T83" s="116"/>
      <c r="U83" s="117"/>
      <c r="V83" s="117"/>
      <c r="W83" s="116"/>
      <c r="X83" s="116"/>
      <c r="Y83" s="116"/>
      <c r="Z83" s="116"/>
      <c r="AA83" s="15"/>
      <c r="AB83" s="15"/>
      <c r="AC83" s="15"/>
      <c r="AD83" s="15"/>
      <c r="AE83" s="118" t="str">
        <f>IF(NOT(ISBLANK(Audit[[#This Row],[Audit Winning Candidate]])), Audit[[#This Row],[Audit Winning Candidate]]-Audit[[#This Row],[Winning Candidate]], "")</f>
        <v/>
      </c>
      <c r="AF83" s="114" t="str">
        <f>IF(NOT(ISBLANK(Audit[[#This Row],[Audit Losing Candidate]])), Audit[[#This Row],[Audit Losing Candidate]]-Audit[[#This Row],[Losing Candidate]], "")</f>
        <v/>
      </c>
      <c r="AG83" s="114" t="str">
        <f>IF(NOT(ISBLANK(Audit[[#This Row],[Audit Candidate 3]])), Audit[[#This Row],[Audit Candidate 3]]-Audit[[#This Row],[Candidate 3]], "")</f>
        <v/>
      </c>
      <c r="AH83" s="114" t="str">
        <f>IF(NOT(ISBLANK(Audit[[#This Row],[Audit Candidate 4]])),Audit[[#This Row],[Audit Candidate 4]]-Audit[[#This Row],[Candidate 4]], "")</f>
        <v/>
      </c>
      <c r="AI83" s="114" t="str">
        <f>IF(NOT(ISBLANK(Audit[[#This Row],[Audit Candidate 5]])), Audit[[#This Row],[Audit Candidate 5]]-Audit[[#This Row],[Candidate 5]], "")</f>
        <v/>
      </c>
      <c r="AJ83" s="114" t="str">
        <f>IF(NOT(ISBLANK(Audit[[#This Row],[Audit Candidate 6]])), Audit[[#This Row],[Audit Candidate 6]]-Audit[[#This Row],[Candidate 6]], "")</f>
        <v/>
      </c>
      <c r="AK83" s="114" t="str">
        <f>IF(NOT(ISBLANK(Audit[[#This Row],[Audit Candidate 7]])), Audit[[#This Row],[Audit Candidate 7]]-Audit[[#This Row],[Candidate 7]], "")</f>
        <v/>
      </c>
      <c r="AL83" s="114" t="str">
        <f>IF(NOT(ISBLANK(Audit[[#This Row],[Audit Candidate 8]])), Audit[[#This Row],[Audit Candidate 8]]-Audit[[#This Row],[Candidate 8]], "")</f>
        <v/>
      </c>
      <c r="AM83" s="114" t="str">
        <f>IF(NOT(ISBLANK(Audit[[#This Row],[Audit Candidate 9]])), Audit[[#This Row],[Audit Candidate 9]]-Audit[[#This Row],[Candidate 9]], "")</f>
        <v/>
      </c>
      <c r="AN83" s="114" t="str">
        <f>IF(NOT(ISBLANK(Audit[[#This Row],[Audit Candidate 10]])), Audit[[#This Row],[Audit Candidate 10]]-Audit[[#This Row],[Candidate 10]], "")</f>
        <v/>
      </c>
      <c r="AO83" s="114" t="str">
        <f>IF(NOT(ISBLANK(Audit[[#This Row],[Audit Candidate 11]])), Audit[[#This Row],[Audit Candidate 11]]-Audit[[#This Row],[Candidate 11]], "")</f>
        <v/>
      </c>
      <c r="AP83" s="114" t="str">
        <f>IF(NOT(ISBLANK(Audit[[#This Row],[Audit Candidate 12]])), Audit[[#This Row],[Audit Candidate 12]]-Audit[[#This Row],[Candidate 12]], "")</f>
        <v/>
      </c>
      <c r="AQ83" s="114">
        <f>SUMIF(Audit[[#This Row],[Difference Winner]:[Difference Candidate 12]], "&gt;0")</f>
        <v>0</v>
      </c>
      <c r="AR83" s="114">
        <f>SUM(Audit[[#This Row],[Difference Winner]:[Difference Candidate 12]])</f>
        <v>0</v>
      </c>
      <c r="AS83" s="114">
        <f>IF(Audit[[#This Row],[Times p Drawn - With Replacement]]&gt;0, IF(Audit[[#This Row],[Canceled Differences]]&lt;0, Audit[[#This Row],[Max Differences]]+ABS(Audit[[#This Row],[Canceled Differences]]), Audit[[#This Row],[Max Differences]]), 0)</f>
        <v>0</v>
      </c>
      <c r="AT83" s="114">
        <f>'Sampling Data'!AB83</f>
        <v>0</v>
      </c>
      <c r="AU83" s="114">
        <f>IF(
      SUM(Audit[[#This Row],[Audit Losing Candidate]:[Audit Candidate 12]])
      &lt;&gt;0,
      (Audit[[#This Row],[Winning Candidate]]-Audit[[#This Row],[Losing Candidate]]-(Audit[[#This Row],[Audit Winning Candidate]]-Audit[[#This Row],[Audit Losing Candidate]]))/(Audit[[#Totals],[Winning Candidate]]-Audit[[#Totals],[Losing Candidate]]),
      0
)</f>
        <v>0</v>
      </c>
      <c r="AV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3" s="114">
        <f>IF(Audit[[#This Row],[Max Relative Error (ep)]] = 0, 0, Audit[[#This Row],[Max Relative Error (ep)]]/Audit[[#This Row],[Error Bound (up) - Max. possible relative overstatement]])</f>
        <v>0</v>
      </c>
      <c r="BH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3" s="114">
        <f t="shared" si="2"/>
        <v>1</v>
      </c>
      <c r="BJ83" s="114">
        <f>PRODUCT($BI$5:BI83)</f>
        <v>0.20973752198051165</v>
      </c>
      <c r="BK83" s="112">
        <f>1 - Audit[[#This Row],[K-M P Value]]</f>
        <v>0.79026247801948835</v>
      </c>
      <c r="BL83" s="114" t="str">
        <f>IF(Audit[[#This Row],[K-M P Value]]&gt;1-'General Info'!$B$12,"Continue", "Stop")</f>
        <v>Continue</v>
      </c>
      <c r="BM83" s="113" t="b">
        <f>IF(Audit[[#This Row],[Status - Continue or stop audit]] = "Continue", TRUE, IF(BL82 = "Continue", TRUE, FALSE))</f>
        <v>1</v>
      </c>
      <c r="BN83" s="113"/>
    </row>
    <row r="84" spans="1:66" ht="15" hidden="1" customHeight="1" x14ac:dyDescent="0.35">
      <c r="A84" s="114" t="str">
        <f>'Sampling Data'!AI84</f>
        <v/>
      </c>
      <c r="B84" s="114" t="str">
        <f>'Sampling Data'!A84</f>
        <v>1203 CIN 12-C   (AV)</v>
      </c>
      <c r="C84" s="114">
        <f>'Sampling Data'!B84</f>
        <v>5</v>
      </c>
      <c r="D84" s="114">
        <f>'Sampling Data'!C84</f>
        <v>1</v>
      </c>
      <c r="E84" s="115">
        <f>'Sampling Data'!D84</f>
        <v>0</v>
      </c>
      <c r="F84" s="115">
        <f>'Sampling Data'!E84</f>
        <v>0</v>
      </c>
      <c r="G84" s="115">
        <f>'Sampling Data'!F84</f>
        <v>0</v>
      </c>
      <c r="H84" s="115">
        <f>'Sampling Data'!G84</f>
        <v>0</v>
      </c>
      <c r="I84" s="115">
        <f>'Sampling Data'!H84</f>
        <v>0</v>
      </c>
      <c r="J84" s="115">
        <f>'Sampling Data'!I84</f>
        <v>0</v>
      </c>
      <c r="K84" s="115">
        <f>'Sampling Data'!J84</f>
        <v>0</v>
      </c>
      <c r="L84" s="115">
        <f>'Sampling Data'!K84</f>
        <v>0</v>
      </c>
      <c r="M84" s="115">
        <f>'Sampling Data'!L84</f>
        <v>0</v>
      </c>
      <c r="N84" s="115">
        <f>'Sampling Data'!M84</f>
        <v>0</v>
      </c>
      <c r="O84" s="114">
        <f>'Sampling Data'!N84</f>
        <v>0</v>
      </c>
      <c r="P84" s="114">
        <f>'Sampling Data'!O84</f>
        <v>0</v>
      </c>
      <c r="Q84" s="114">
        <f>'Sampling Data'!P84</f>
        <v>6</v>
      </c>
      <c r="R84" s="114">
        <f>'Sampling Data'!AJ84</f>
        <v>0</v>
      </c>
      <c r="S84" s="116"/>
      <c r="T84" s="116"/>
      <c r="U84" s="117"/>
      <c r="V84" s="117"/>
      <c r="W84" s="116"/>
      <c r="X84" s="116"/>
      <c r="Y84" s="116"/>
      <c r="Z84" s="116"/>
      <c r="AA84" s="15"/>
      <c r="AB84" s="15"/>
      <c r="AC84" s="15"/>
      <c r="AD84" s="15"/>
      <c r="AE84" s="118" t="str">
        <f>IF(NOT(ISBLANK(Audit[[#This Row],[Audit Winning Candidate]])), Audit[[#This Row],[Audit Winning Candidate]]-Audit[[#This Row],[Winning Candidate]], "")</f>
        <v/>
      </c>
      <c r="AF84" s="114" t="str">
        <f>IF(NOT(ISBLANK(Audit[[#This Row],[Audit Losing Candidate]])), Audit[[#This Row],[Audit Losing Candidate]]-Audit[[#This Row],[Losing Candidate]], "")</f>
        <v/>
      </c>
      <c r="AG84" s="114" t="str">
        <f>IF(NOT(ISBLANK(Audit[[#This Row],[Audit Candidate 3]])), Audit[[#This Row],[Audit Candidate 3]]-Audit[[#This Row],[Candidate 3]], "")</f>
        <v/>
      </c>
      <c r="AH84" s="114" t="str">
        <f>IF(NOT(ISBLANK(Audit[[#This Row],[Audit Candidate 4]])),Audit[[#This Row],[Audit Candidate 4]]-Audit[[#This Row],[Candidate 4]], "")</f>
        <v/>
      </c>
      <c r="AI84" s="114" t="str">
        <f>IF(NOT(ISBLANK(Audit[[#This Row],[Audit Candidate 5]])), Audit[[#This Row],[Audit Candidate 5]]-Audit[[#This Row],[Candidate 5]], "")</f>
        <v/>
      </c>
      <c r="AJ84" s="114" t="str">
        <f>IF(NOT(ISBLANK(Audit[[#This Row],[Audit Candidate 6]])), Audit[[#This Row],[Audit Candidate 6]]-Audit[[#This Row],[Candidate 6]], "")</f>
        <v/>
      </c>
      <c r="AK84" s="114" t="str">
        <f>IF(NOT(ISBLANK(Audit[[#This Row],[Audit Candidate 7]])), Audit[[#This Row],[Audit Candidate 7]]-Audit[[#This Row],[Candidate 7]], "")</f>
        <v/>
      </c>
      <c r="AL84" s="114" t="str">
        <f>IF(NOT(ISBLANK(Audit[[#This Row],[Audit Candidate 8]])), Audit[[#This Row],[Audit Candidate 8]]-Audit[[#This Row],[Candidate 8]], "")</f>
        <v/>
      </c>
      <c r="AM84" s="114" t="str">
        <f>IF(NOT(ISBLANK(Audit[[#This Row],[Audit Candidate 9]])), Audit[[#This Row],[Audit Candidate 9]]-Audit[[#This Row],[Candidate 9]], "")</f>
        <v/>
      </c>
      <c r="AN84" s="114" t="str">
        <f>IF(NOT(ISBLANK(Audit[[#This Row],[Audit Candidate 10]])), Audit[[#This Row],[Audit Candidate 10]]-Audit[[#This Row],[Candidate 10]], "")</f>
        <v/>
      </c>
      <c r="AO84" s="114" t="str">
        <f>IF(NOT(ISBLANK(Audit[[#This Row],[Audit Candidate 11]])), Audit[[#This Row],[Audit Candidate 11]]-Audit[[#This Row],[Candidate 11]], "")</f>
        <v/>
      </c>
      <c r="AP84" s="114" t="str">
        <f>IF(NOT(ISBLANK(Audit[[#This Row],[Audit Candidate 12]])), Audit[[#This Row],[Audit Candidate 12]]-Audit[[#This Row],[Candidate 12]], "")</f>
        <v/>
      </c>
      <c r="AQ84" s="114">
        <f>SUMIF(Audit[[#This Row],[Difference Winner]:[Difference Candidate 12]], "&gt;0")</f>
        <v>0</v>
      </c>
      <c r="AR84" s="114">
        <f>SUM(Audit[[#This Row],[Difference Winner]:[Difference Candidate 12]])</f>
        <v>0</v>
      </c>
      <c r="AS84" s="114">
        <f>IF(Audit[[#This Row],[Times p Drawn - With Replacement]]&gt;0, IF(Audit[[#This Row],[Canceled Differences]]&lt;0, Audit[[#This Row],[Max Differences]]+ABS(Audit[[#This Row],[Canceled Differences]]), Audit[[#This Row],[Max Differences]]), 0)</f>
        <v>0</v>
      </c>
      <c r="AT84" s="114">
        <f>'Sampling Data'!AB84</f>
        <v>6.3207129764237407E-4</v>
      </c>
      <c r="AU84" s="114">
        <f>IF(
      SUM(Audit[[#This Row],[Audit Losing Candidate]:[Audit Candidate 12]])
      &lt;&gt;0,
      (Audit[[#This Row],[Winning Candidate]]-Audit[[#This Row],[Losing Candidate]]-(Audit[[#This Row],[Audit Winning Candidate]]-Audit[[#This Row],[Audit Losing Candidate]]))/(Audit[[#Totals],[Winning Candidate]]-Audit[[#Totals],[Losing Candidate]]),
      0
)</f>
        <v>0</v>
      </c>
      <c r="AV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4" s="114">
        <f>IF(Audit[[#This Row],[Max Relative Error (ep)]] = 0, 0, Audit[[#This Row],[Max Relative Error (ep)]]/Audit[[#This Row],[Error Bound (up) - Max. possible relative overstatement]])</f>
        <v>0</v>
      </c>
      <c r="BH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4" s="114">
        <f t="shared" si="2"/>
        <v>1</v>
      </c>
      <c r="BJ84" s="114">
        <f>PRODUCT($BI$5:BI84)</f>
        <v>0.20973752198051165</v>
      </c>
      <c r="BK84" s="112">
        <f>1 - Audit[[#This Row],[K-M P Value]]</f>
        <v>0.79026247801948835</v>
      </c>
      <c r="BL84" s="114" t="str">
        <f>IF(Audit[[#This Row],[K-M P Value]]&gt;1-'General Info'!$B$12,"Continue", "Stop")</f>
        <v>Continue</v>
      </c>
      <c r="BM84" s="113" t="b">
        <f>IF(Audit[[#This Row],[Status - Continue or stop audit]] = "Continue", TRUE, IF(BL83 = "Continue", TRUE, FALSE))</f>
        <v>1</v>
      </c>
      <c r="BN84" s="113"/>
    </row>
    <row r="85" spans="1:66" ht="15" hidden="1" customHeight="1" x14ac:dyDescent="0.35">
      <c r="A85" s="114" t="str">
        <f>'Sampling Data'!AI85</f>
        <v/>
      </c>
      <c r="B85" s="114" t="str">
        <f>'Sampling Data'!A85</f>
        <v>1204 CIN 12-D   (AV)</v>
      </c>
      <c r="C85" s="114">
        <f>'Sampling Data'!B85</f>
        <v>25</v>
      </c>
      <c r="D85" s="114">
        <f>'Sampling Data'!C85</f>
        <v>4</v>
      </c>
      <c r="E85" s="115">
        <f>'Sampling Data'!D85</f>
        <v>3</v>
      </c>
      <c r="F85" s="115">
        <f>'Sampling Data'!E85</f>
        <v>0</v>
      </c>
      <c r="G85" s="115">
        <f>'Sampling Data'!F85</f>
        <v>0</v>
      </c>
      <c r="H85" s="115">
        <f>'Sampling Data'!G85</f>
        <v>0</v>
      </c>
      <c r="I85" s="115">
        <f>'Sampling Data'!H85</f>
        <v>0</v>
      </c>
      <c r="J85" s="115">
        <f>'Sampling Data'!I85</f>
        <v>0</v>
      </c>
      <c r="K85" s="115">
        <f>'Sampling Data'!J85</f>
        <v>0</v>
      </c>
      <c r="L85" s="115">
        <f>'Sampling Data'!K85</f>
        <v>0</v>
      </c>
      <c r="M85" s="115">
        <f>'Sampling Data'!L85</f>
        <v>0</v>
      </c>
      <c r="N85" s="115">
        <f>'Sampling Data'!M85</f>
        <v>0</v>
      </c>
      <c r="O85" s="114">
        <f>'Sampling Data'!N85</f>
        <v>0</v>
      </c>
      <c r="P85" s="114">
        <f>'Sampling Data'!O85</f>
        <v>3</v>
      </c>
      <c r="Q85" s="114">
        <f>'Sampling Data'!P85</f>
        <v>35</v>
      </c>
      <c r="R85" s="114">
        <f>'Sampling Data'!AJ85</f>
        <v>0</v>
      </c>
      <c r="S85" s="116"/>
      <c r="T85" s="116"/>
      <c r="U85" s="117"/>
      <c r="V85" s="117"/>
      <c r="W85" s="116"/>
      <c r="X85" s="116"/>
      <c r="Y85" s="116"/>
      <c r="Z85" s="116"/>
      <c r="AA85" s="15"/>
      <c r="AB85" s="15"/>
      <c r="AC85" s="15"/>
      <c r="AD85" s="15"/>
      <c r="AE85" s="118" t="str">
        <f>IF(NOT(ISBLANK(Audit[[#This Row],[Audit Winning Candidate]])), Audit[[#This Row],[Audit Winning Candidate]]-Audit[[#This Row],[Winning Candidate]], "")</f>
        <v/>
      </c>
      <c r="AF85" s="114" t="str">
        <f>IF(NOT(ISBLANK(Audit[[#This Row],[Audit Losing Candidate]])), Audit[[#This Row],[Audit Losing Candidate]]-Audit[[#This Row],[Losing Candidate]], "")</f>
        <v/>
      </c>
      <c r="AG85" s="114" t="str">
        <f>IF(NOT(ISBLANK(Audit[[#This Row],[Audit Candidate 3]])), Audit[[#This Row],[Audit Candidate 3]]-Audit[[#This Row],[Candidate 3]], "")</f>
        <v/>
      </c>
      <c r="AH85" s="114" t="str">
        <f>IF(NOT(ISBLANK(Audit[[#This Row],[Audit Candidate 4]])),Audit[[#This Row],[Audit Candidate 4]]-Audit[[#This Row],[Candidate 4]], "")</f>
        <v/>
      </c>
      <c r="AI85" s="114" t="str">
        <f>IF(NOT(ISBLANK(Audit[[#This Row],[Audit Candidate 5]])), Audit[[#This Row],[Audit Candidate 5]]-Audit[[#This Row],[Candidate 5]], "")</f>
        <v/>
      </c>
      <c r="AJ85" s="114" t="str">
        <f>IF(NOT(ISBLANK(Audit[[#This Row],[Audit Candidate 6]])), Audit[[#This Row],[Audit Candidate 6]]-Audit[[#This Row],[Candidate 6]], "")</f>
        <v/>
      </c>
      <c r="AK85" s="114" t="str">
        <f>IF(NOT(ISBLANK(Audit[[#This Row],[Audit Candidate 7]])), Audit[[#This Row],[Audit Candidate 7]]-Audit[[#This Row],[Candidate 7]], "")</f>
        <v/>
      </c>
      <c r="AL85" s="114" t="str">
        <f>IF(NOT(ISBLANK(Audit[[#This Row],[Audit Candidate 8]])), Audit[[#This Row],[Audit Candidate 8]]-Audit[[#This Row],[Candidate 8]], "")</f>
        <v/>
      </c>
      <c r="AM85" s="114" t="str">
        <f>IF(NOT(ISBLANK(Audit[[#This Row],[Audit Candidate 9]])), Audit[[#This Row],[Audit Candidate 9]]-Audit[[#This Row],[Candidate 9]], "")</f>
        <v/>
      </c>
      <c r="AN85" s="114" t="str">
        <f>IF(NOT(ISBLANK(Audit[[#This Row],[Audit Candidate 10]])), Audit[[#This Row],[Audit Candidate 10]]-Audit[[#This Row],[Candidate 10]], "")</f>
        <v/>
      </c>
      <c r="AO85" s="114" t="str">
        <f>IF(NOT(ISBLANK(Audit[[#This Row],[Audit Candidate 11]])), Audit[[#This Row],[Audit Candidate 11]]-Audit[[#This Row],[Candidate 11]], "")</f>
        <v/>
      </c>
      <c r="AP85" s="114" t="str">
        <f>IF(NOT(ISBLANK(Audit[[#This Row],[Audit Candidate 12]])), Audit[[#This Row],[Audit Candidate 12]]-Audit[[#This Row],[Candidate 12]], "")</f>
        <v/>
      </c>
      <c r="AQ85" s="114">
        <f>SUMIF(Audit[[#This Row],[Difference Winner]:[Difference Candidate 12]], "&gt;0")</f>
        <v>0</v>
      </c>
      <c r="AR85" s="114">
        <f>SUM(Audit[[#This Row],[Difference Winner]:[Difference Candidate 12]])</f>
        <v>0</v>
      </c>
      <c r="AS85" s="114">
        <f>IF(Audit[[#This Row],[Times p Drawn - With Replacement]]&gt;0, IF(Audit[[#This Row],[Canceled Differences]]&lt;0, Audit[[#This Row],[Max Differences]]+ABS(Audit[[#This Row],[Canceled Differences]]), Audit[[#This Row],[Max Differences]]), 0)</f>
        <v>0</v>
      </c>
      <c r="AT85" s="114">
        <f>'Sampling Data'!AB85</f>
        <v>3.5395992667972948E-3</v>
      </c>
      <c r="AU85" s="114">
        <f>IF(
      SUM(Audit[[#This Row],[Audit Losing Candidate]:[Audit Candidate 12]])
      &lt;&gt;0,
      (Audit[[#This Row],[Winning Candidate]]-Audit[[#This Row],[Losing Candidate]]-(Audit[[#This Row],[Audit Winning Candidate]]-Audit[[#This Row],[Audit Losing Candidate]]))/(Audit[[#Totals],[Winning Candidate]]-Audit[[#Totals],[Losing Candidate]]),
      0
)</f>
        <v>0</v>
      </c>
      <c r="AV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5" s="114">
        <f>IF(Audit[[#This Row],[Max Relative Error (ep)]] = 0, 0, Audit[[#This Row],[Max Relative Error (ep)]]/Audit[[#This Row],[Error Bound (up) - Max. possible relative overstatement]])</f>
        <v>0</v>
      </c>
      <c r="BH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5" s="114">
        <f t="shared" si="2"/>
        <v>1</v>
      </c>
      <c r="BJ85" s="114">
        <f>PRODUCT($BI$5:BI85)</f>
        <v>0.20973752198051165</v>
      </c>
      <c r="BK85" s="112">
        <f>1 - Audit[[#This Row],[K-M P Value]]</f>
        <v>0.79026247801948835</v>
      </c>
      <c r="BL85" s="114" t="str">
        <f>IF(Audit[[#This Row],[K-M P Value]]&gt;1-'General Info'!$B$12,"Continue", "Stop")</f>
        <v>Continue</v>
      </c>
      <c r="BM85" s="113" t="b">
        <f>IF(Audit[[#This Row],[Status - Continue or stop audit]] = "Continue", TRUE, IF(BL84 = "Continue", TRUE, FALSE))</f>
        <v>1</v>
      </c>
      <c r="BN85" s="113"/>
    </row>
    <row r="86" spans="1:66" ht="15" hidden="1" customHeight="1" x14ac:dyDescent="0.35">
      <c r="A86" s="114" t="str">
        <f>'Sampling Data'!AI86</f>
        <v/>
      </c>
      <c r="B86" s="114" t="str">
        <f>'Sampling Data'!A86</f>
        <v>1205 CIN 12-E   (AV)</v>
      </c>
      <c r="C86" s="114">
        <f>'Sampling Data'!B86</f>
        <v>3</v>
      </c>
      <c r="D86" s="114">
        <f>'Sampling Data'!C86</f>
        <v>1</v>
      </c>
      <c r="E86" s="115">
        <f>'Sampling Data'!D86</f>
        <v>0</v>
      </c>
      <c r="F86" s="115">
        <f>'Sampling Data'!E86</f>
        <v>0</v>
      </c>
      <c r="G86" s="115">
        <f>'Sampling Data'!F86</f>
        <v>0</v>
      </c>
      <c r="H86" s="115">
        <f>'Sampling Data'!G86</f>
        <v>0</v>
      </c>
      <c r="I86" s="115">
        <f>'Sampling Data'!H86</f>
        <v>0</v>
      </c>
      <c r="J86" s="115">
        <f>'Sampling Data'!I86</f>
        <v>0</v>
      </c>
      <c r="K86" s="115">
        <f>'Sampling Data'!J86</f>
        <v>0</v>
      </c>
      <c r="L86" s="115">
        <f>'Sampling Data'!K86</f>
        <v>0</v>
      </c>
      <c r="M86" s="115">
        <f>'Sampling Data'!L86</f>
        <v>0</v>
      </c>
      <c r="N86" s="115">
        <f>'Sampling Data'!M86</f>
        <v>0</v>
      </c>
      <c r="O86" s="114">
        <f>'Sampling Data'!N86</f>
        <v>0</v>
      </c>
      <c r="P86" s="114">
        <f>'Sampling Data'!O86</f>
        <v>0</v>
      </c>
      <c r="Q86" s="114">
        <f>'Sampling Data'!P86</f>
        <v>4</v>
      </c>
      <c r="R86" s="114">
        <f>'Sampling Data'!AJ86</f>
        <v>0</v>
      </c>
      <c r="S86" s="116"/>
      <c r="T86" s="116"/>
      <c r="U86" s="117"/>
      <c r="V86" s="117"/>
      <c r="W86" s="116"/>
      <c r="X86" s="116"/>
      <c r="Y86" s="116"/>
      <c r="Z86" s="116"/>
      <c r="AA86" s="15"/>
      <c r="AB86" s="15"/>
      <c r="AC86" s="15"/>
      <c r="AD86" s="15"/>
      <c r="AE86" s="118" t="str">
        <f>IF(NOT(ISBLANK(Audit[[#This Row],[Audit Winning Candidate]])), Audit[[#This Row],[Audit Winning Candidate]]-Audit[[#This Row],[Winning Candidate]], "")</f>
        <v/>
      </c>
      <c r="AF86" s="114" t="str">
        <f>IF(NOT(ISBLANK(Audit[[#This Row],[Audit Losing Candidate]])), Audit[[#This Row],[Audit Losing Candidate]]-Audit[[#This Row],[Losing Candidate]], "")</f>
        <v/>
      </c>
      <c r="AG86" s="114" t="str">
        <f>IF(NOT(ISBLANK(Audit[[#This Row],[Audit Candidate 3]])), Audit[[#This Row],[Audit Candidate 3]]-Audit[[#This Row],[Candidate 3]], "")</f>
        <v/>
      </c>
      <c r="AH86" s="114" t="str">
        <f>IF(NOT(ISBLANK(Audit[[#This Row],[Audit Candidate 4]])),Audit[[#This Row],[Audit Candidate 4]]-Audit[[#This Row],[Candidate 4]], "")</f>
        <v/>
      </c>
      <c r="AI86" s="114" t="str">
        <f>IF(NOT(ISBLANK(Audit[[#This Row],[Audit Candidate 5]])), Audit[[#This Row],[Audit Candidate 5]]-Audit[[#This Row],[Candidate 5]], "")</f>
        <v/>
      </c>
      <c r="AJ86" s="114" t="str">
        <f>IF(NOT(ISBLANK(Audit[[#This Row],[Audit Candidate 6]])), Audit[[#This Row],[Audit Candidate 6]]-Audit[[#This Row],[Candidate 6]], "")</f>
        <v/>
      </c>
      <c r="AK86" s="114" t="str">
        <f>IF(NOT(ISBLANK(Audit[[#This Row],[Audit Candidate 7]])), Audit[[#This Row],[Audit Candidate 7]]-Audit[[#This Row],[Candidate 7]], "")</f>
        <v/>
      </c>
      <c r="AL86" s="114" t="str">
        <f>IF(NOT(ISBLANK(Audit[[#This Row],[Audit Candidate 8]])), Audit[[#This Row],[Audit Candidate 8]]-Audit[[#This Row],[Candidate 8]], "")</f>
        <v/>
      </c>
      <c r="AM86" s="114" t="str">
        <f>IF(NOT(ISBLANK(Audit[[#This Row],[Audit Candidate 9]])), Audit[[#This Row],[Audit Candidate 9]]-Audit[[#This Row],[Candidate 9]], "")</f>
        <v/>
      </c>
      <c r="AN86" s="114" t="str">
        <f>IF(NOT(ISBLANK(Audit[[#This Row],[Audit Candidate 10]])), Audit[[#This Row],[Audit Candidate 10]]-Audit[[#This Row],[Candidate 10]], "")</f>
        <v/>
      </c>
      <c r="AO86" s="114" t="str">
        <f>IF(NOT(ISBLANK(Audit[[#This Row],[Audit Candidate 11]])), Audit[[#This Row],[Audit Candidate 11]]-Audit[[#This Row],[Candidate 11]], "")</f>
        <v/>
      </c>
      <c r="AP86" s="114" t="str">
        <f>IF(NOT(ISBLANK(Audit[[#This Row],[Audit Candidate 12]])), Audit[[#This Row],[Audit Candidate 12]]-Audit[[#This Row],[Candidate 12]], "")</f>
        <v/>
      </c>
      <c r="AQ86" s="114">
        <f>SUMIF(Audit[[#This Row],[Difference Winner]:[Difference Candidate 12]], "&gt;0")</f>
        <v>0</v>
      </c>
      <c r="AR86" s="114">
        <f>SUM(Audit[[#This Row],[Difference Winner]:[Difference Candidate 12]])</f>
        <v>0</v>
      </c>
      <c r="AS86" s="114">
        <f>IF(Audit[[#This Row],[Times p Drawn - With Replacement]]&gt;0, IF(Audit[[#This Row],[Canceled Differences]]&lt;0, Audit[[#This Row],[Max Differences]]+ABS(Audit[[#This Row],[Canceled Differences]]), Audit[[#This Row],[Max Differences]]), 0)</f>
        <v>0</v>
      </c>
      <c r="AT86" s="114">
        <f>'Sampling Data'!AB86</f>
        <v>3.9512305260781214E-4</v>
      </c>
      <c r="AU86" s="114">
        <f>IF(
      SUM(Audit[[#This Row],[Audit Losing Candidate]:[Audit Candidate 12]])
      &lt;&gt;0,
      (Audit[[#This Row],[Winning Candidate]]-Audit[[#This Row],[Losing Candidate]]-(Audit[[#This Row],[Audit Winning Candidate]]-Audit[[#This Row],[Audit Losing Candidate]]))/(Audit[[#Totals],[Winning Candidate]]-Audit[[#Totals],[Losing Candidate]]),
      0
)</f>
        <v>0</v>
      </c>
      <c r="AV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6" s="114">
        <f>IF(Audit[[#This Row],[Max Relative Error (ep)]] = 0, 0, Audit[[#This Row],[Max Relative Error (ep)]]/Audit[[#This Row],[Error Bound (up) - Max. possible relative overstatement]])</f>
        <v>0</v>
      </c>
      <c r="BH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6" s="114">
        <f t="shared" si="2"/>
        <v>1</v>
      </c>
      <c r="BJ86" s="114">
        <f>PRODUCT($BI$5:BI86)</f>
        <v>0.20973752198051165</v>
      </c>
      <c r="BK86" s="112">
        <f>1 - Audit[[#This Row],[K-M P Value]]</f>
        <v>0.79026247801948835</v>
      </c>
      <c r="BL86" s="114" t="str">
        <f>IF(Audit[[#This Row],[K-M P Value]]&gt;1-'General Info'!$B$12,"Continue", "Stop")</f>
        <v>Continue</v>
      </c>
      <c r="BM86" s="113" t="b">
        <f>IF(Audit[[#This Row],[Status - Continue or stop audit]] = "Continue", TRUE, IF(BL85 = "Continue", TRUE, FALSE))</f>
        <v>1</v>
      </c>
      <c r="BN86" s="113"/>
    </row>
    <row r="87" spans="1:66" ht="15" hidden="1" customHeight="1" x14ac:dyDescent="0.35">
      <c r="A87" s="114" t="str">
        <f>'Sampling Data'!AI87</f>
        <v/>
      </c>
      <c r="B87" s="114" t="str">
        <f>'Sampling Data'!A87</f>
        <v>1301 CIN 13-A   (AV)</v>
      </c>
      <c r="C87" s="114">
        <f>'Sampling Data'!B87</f>
        <v>14</v>
      </c>
      <c r="D87" s="114">
        <f>'Sampling Data'!C87</f>
        <v>1</v>
      </c>
      <c r="E87" s="115">
        <f>'Sampling Data'!D87</f>
        <v>1</v>
      </c>
      <c r="F87" s="115">
        <f>'Sampling Data'!E87</f>
        <v>0</v>
      </c>
      <c r="G87" s="115">
        <f>'Sampling Data'!F87</f>
        <v>0</v>
      </c>
      <c r="H87" s="115">
        <f>'Sampling Data'!G87</f>
        <v>0</v>
      </c>
      <c r="I87" s="115">
        <f>'Sampling Data'!H87</f>
        <v>0</v>
      </c>
      <c r="J87" s="115">
        <f>'Sampling Data'!I87</f>
        <v>0</v>
      </c>
      <c r="K87" s="115">
        <f>'Sampling Data'!J87</f>
        <v>0</v>
      </c>
      <c r="L87" s="115">
        <f>'Sampling Data'!K87</f>
        <v>0</v>
      </c>
      <c r="M87" s="115">
        <f>'Sampling Data'!L87</f>
        <v>0</v>
      </c>
      <c r="N87" s="115">
        <f>'Sampling Data'!M87</f>
        <v>0</v>
      </c>
      <c r="O87" s="114">
        <f>'Sampling Data'!N87</f>
        <v>0</v>
      </c>
      <c r="P87" s="114">
        <f>'Sampling Data'!O87</f>
        <v>0</v>
      </c>
      <c r="Q87" s="114">
        <f>'Sampling Data'!P87</f>
        <v>16</v>
      </c>
      <c r="R87" s="114">
        <f>'Sampling Data'!AJ87</f>
        <v>0</v>
      </c>
      <c r="S87" s="116"/>
      <c r="T87" s="116"/>
      <c r="U87" s="117"/>
      <c r="V87" s="117"/>
      <c r="W87" s="116"/>
      <c r="X87" s="116"/>
      <c r="Y87" s="116"/>
      <c r="Z87" s="116"/>
      <c r="AA87" s="15"/>
      <c r="AB87" s="15"/>
      <c r="AC87" s="15"/>
      <c r="AD87" s="15"/>
      <c r="AE87" s="118" t="str">
        <f>IF(NOT(ISBLANK(Audit[[#This Row],[Audit Winning Candidate]])), Audit[[#This Row],[Audit Winning Candidate]]-Audit[[#This Row],[Winning Candidate]], "")</f>
        <v/>
      </c>
      <c r="AF87" s="114" t="str">
        <f>IF(NOT(ISBLANK(Audit[[#This Row],[Audit Losing Candidate]])), Audit[[#This Row],[Audit Losing Candidate]]-Audit[[#This Row],[Losing Candidate]], "")</f>
        <v/>
      </c>
      <c r="AG87" s="114" t="str">
        <f>IF(NOT(ISBLANK(Audit[[#This Row],[Audit Candidate 3]])), Audit[[#This Row],[Audit Candidate 3]]-Audit[[#This Row],[Candidate 3]], "")</f>
        <v/>
      </c>
      <c r="AH87" s="114" t="str">
        <f>IF(NOT(ISBLANK(Audit[[#This Row],[Audit Candidate 4]])),Audit[[#This Row],[Audit Candidate 4]]-Audit[[#This Row],[Candidate 4]], "")</f>
        <v/>
      </c>
      <c r="AI87" s="114" t="str">
        <f>IF(NOT(ISBLANK(Audit[[#This Row],[Audit Candidate 5]])), Audit[[#This Row],[Audit Candidate 5]]-Audit[[#This Row],[Candidate 5]], "")</f>
        <v/>
      </c>
      <c r="AJ87" s="114" t="str">
        <f>IF(NOT(ISBLANK(Audit[[#This Row],[Audit Candidate 6]])), Audit[[#This Row],[Audit Candidate 6]]-Audit[[#This Row],[Candidate 6]], "")</f>
        <v/>
      </c>
      <c r="AK87" s="114" t="str">
        <f>IF(NOT(ISBLANK(Audit[[#This Row],[Audit Candidate 7]])), Audit[[#This Row],[Audit Candidate 7]]-Audit[[#This Row],[Candidate 7]], "")</f>
        <v/>
      </c>
      <c r="AL87" s="114" t="str">
        <f>IF(NOT(ISBLANK(Audit[[#This Row],[Audit Candidate 8]])), Audit[[#This Row],[Audit Candidate 8]]-Audit[[#This Row],[Candidate 8]], "")</f>
        <v/>
      </c>
      <c r="AM87" s="114" t="str">
        <f>IF(NOT(ISBLANK(Audit[[#This Row],[Audit Candidate 9]])), Audit[[#This Row],[Audit Candidate 9]]-Audit[[#This Row],[Candidate 9]], "")</f>
        <v/>
      </c>
      <c r="AN87" s="114" t="str">
        <f>IF(NOT(ISBLANK(Audit[[#This Row],[Audit Candidate 10]])), Audit[[#This Row],[Audit Candidate 10]]-Audit[[#This Row],[Candidate 10]], "")</f>
        <v/>
      </c>
      <c r="AO87" s="114" t="str">
        <f>IF(NOT(ISBLANK(Audit[[#This Row],[Audit Candidate 11]])), Audit[[#This Row],[Audit Candidate 11]]-Audit[[#This Row],[Candidate 11]], "")</f>
        <v/>
      </c>
      <c r="AP87" s="114" t="str">
        <f>IF(NOT(ISBLANK(Audit[[#This Row],[Audit Candidate 12]])), Audit[[#This Row],[Audit Candidate 12]]-Audit[[#This Row],[Candidate 12]], "")</f>
        <v/>
      </c>
      <c r="AQ87" s="114">
        <f>SUMIF(Audit[[#This Row],[Difference Winner]:[Difference Candidate 12]], "&gt;0")</f>
        <v>0</v>
      </c>
      <c r="AR87" s="114">
        <f>SUM(Audit[[#This Row],[Difference Winner]:[Difference Candidate 12]])</f>
        <v>0</v>
      </c>
      <c r="AS87" s="114">
        <f>IF(Audit[[#This Row],[Times p Drawn - With Replacement]]&gt;0, IF(Audit[[#This Row],[Canceled Differences]]&lt;0, Audit[[#This Row],[Max Differences]]+ABS(Audit[[#This Row],[Canceled Differences]]), Audit[[#This Row],[Max Differences]]), 0)</f>
        <v>0</v>
      </c>
      <c r="AT87" s="114">
        <f>'Sampling Data'!AB87</f>
        <v>1.8330067631628848E-3</v>
      </c>
      <c r="AU87" s="114">
        <f>IF(
      SUM(Audit[[#This Row],[Audit Losing Candidate]:[Audit Candidate 12]])
      &lt;&gt;0,
      (Audit[[#This Row],[Winning Candidate]]-Audit[[#This Row],[Losing Candidate]]-(Audit[[#This Row],[Audit Winning Candidate]]-Audit[[#This Row],[Audit Losing Candidate]]))/(Audit[[#Totals],[Winning Candidate]]-Audit[[#Totals],[Losing Candidate]]),
      0
)</f>
        <v>0</v>
      </c>
      <c r="AV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7" s="114">
        <f>IF(Audit[[#This Row],[Max Relative Error (ep)]] = 0, 0, Audit[[#This Row],[Max Relative Error (ep)]]/Audit[[#This Row],[Error Bound (up) - Max. possible relative overstatement]])</f>
        <v>0</v>
      </c>
      <c r="BH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7" s="114">
        <f t="shared" si="2"/>
        <v>1</v>
      </c>
      <c r="BJ87" s="114">
        <f>PRODUCT($BI$5:BI87)</f>
        <v>0.20973752198051165</v>
      </c>
      <c r="BK87" s="112">
        <f>1 - Audit[[#This Row],[K-M P Value]]</f>
        <v>0.79026247801948835</v>
      </c>
      <c r="BL87" s="114" t="str">
        <f>IF(Audit[[#This Row],[K-M P Value]]&gt;1-'General Info'!$B$12,"Continue", "Stop")</f>
        <v>Continue</v>
      </c>
      <c r="BM87" s="113" t="b">
        <f>IF(Audit[[#This Row],[Status - Continue or stop audit]] = "Continue", TRUE, IF(BL86 = "Continue", TRUE, FALSE))</f>
        <v>1</v>
      </c>
      <c r="BN87" s="113"/>
    </row>
    <row r="88" spans="1:66" ht="15" hidden="1" customHeight="1" x14ac:dyDescent="0.35">
      <c r="A88" s="114" t="str">
        <f>'Sampling Data'!AI88</f>
        <v/>
      </c>
      <c r="B88" s="114" t="str">
        <f>'Sampling Data'!A88</f>
        <v>1302 CIN 13-B   (AV)</v>
      </c>
      <c r="C88" s="114">
        <f>'Sampling Data'!B88</f>
        <v>18</v>
      </c>
      <c r="D88" s="114">
        <f>'Sampling Data'!C88</f>
        <v>6</v>
      </c>
      <c r="E88" s="115">
        <f>'Sampling Data'!D88</f>
        <v>0</v>
      </c>
      <c r="F88" s="115">
        <f>'Sampling Data'!E88</f>
        <v>0</v>
      </c>
      <c r="G88" s="115">
        <f>'Sampling Data'!F88</f>
        <v>0</v>
      </c>
      <c r="H88" s="115">
        <f>'Sampling Data'!G88</f>
        <v>0</v>
      </c>
      <c r="I88" s="115">
        <f>'Sampling Data'!H88</f>
        <v>0</v>
      </c>
      <c r="J88" s="115">
        <f>'Sampling Data'!I88</f>
        <v>0</v>
      </c>
      <c r="K88" s="115">
        <f>'Sampling Data'!J88</f>
        <v>0</v>
      </c>
      <c r="L88" s="115">
        <f>'Sampling Data'!K88</f>
        <v>0</v>
      </c>
      <c r="M88" s="115">
        <f>'Sampling Data'!L88</f>
        <v>0</v>
      </c>
      <c r="N88" s="115">
        <f>'Sampling Data'!M88</f>
        <v>0</v>
      </c>
      <c r="O88" s="114">
        <f>'Sampling Data'!N88</f>
        <v>0</v>
      </c>
      <c r="P88" s="114">
        <f>'Sampling Data'!O88</f>
        <v>0</v>
      </c>
      <c r="Q88" s="114">
        <f>'Sampling Data'!P88</f>
        <v>24</v>
      </c>
      <c r="R88" s="114">
        <f>'Sampling Data'!AJ88</f>
        <v>0</v>
      </c>
      <c r="S88" s="116"/>
      <c r="T88" s="116"/>
      <c r="U88" s="117"/>
      <c r="V88" s="117"/>
      <c r="W88" s="116"/>
      <c r="X88" s="116"/>
      <c r="Y88" s="116"/>
      <c r="Z88" s="116"/>
      <c r="AA88" s="15"/>
      <c r="AB88" s="15"/>
      <c r="AC88" s="15"/>
      <c r="AD88" s="15"/>
      <c r="AE88" s="118" t="str">
        <f>IF(NOT(ISBLANK(Audit[[#This Row],[Audit Winning Candidate]])), Audit[[#This Row],[Audit Winning Candidate]]-Audit[[#This Row],[Winning Candidate]], "")</f>
        <v/>
      </c>
      <c r="AF88" s="114" t="str">
        <f>IF(NOT(ISBLANK(Audit[[#This Row],[Audit Losing Candidate]])), Audit[[#This Row],[Audit Losing Candidate]]-Audit[[#This Row],[Losing Candidate]], "")</f>
        <v/>
      </c>
      <c r="AG88" s="114" t="str">
        <f>IF(NOT(ISBLANK(Audit[[#This Row],[Audit Candidate 3]])), Audit[[#This Row],[Audit Candidate 3]]-Audit[[#This Row],[Candidate 3]], "")</f>
        <v/>
      </c>
      <c r="AH88" s="114" t="str">
        <f>IF(NOT(ISBLANK(Audit[[#This Row],[Audit Candidate 4]])),Audit[[#This Row],[Audit Candidate 4]]-Audit[[#This Row],[Candidate 4]], "")</f>
        <v/>
      </c>
      <c r="AI88" s="114" t="str">
        <f>IF(NOT(ISBLANK(Audit[[#This Row],[Audit Candidate 5]])), Audit[[#This Row],[Audit Candidate 5]]-Audit[[#This Row],[Candidate 5]], "")</f>
        <v/>
      </c>
      <c r="AJ88" s="114" t="str">
        <f>IF(NOT(ISBLANK(Audit[[#This Row],[Audit Candidate 6]])), Audit[[#This Row],[Audit Candidate 6]]-Audit[[#This Row],[Candidate 6]], "")</f>
        <v/>
      </c>
      <c r="AK88" s="114" t="str">
        <f>IF(NOT(ISBLANK(Audit[[#This Row],[Audit Candidate 7]])), Audit[[#This Row],[Audit Candidate 7]]-Audit[[#This Row],[Candidate 7]], "")</f>
        <v/>
      </c>
      <c r="AL88" s="114" t="str">
        <f>IF(NOT(ISBLANK(Audit[[#This Row],[Audit Candidate 8]])), Audit[[#This Row],[Audit Candidate 8]]-Audit[[#This Row],[Candidate 8]], "")</f>
        <v/>
      </c>
      <c r="AM88" s="114" t="str">
        <f>IF(NOT(ISBLANK(Audit[[#This Row],[Audit Candidate 9]])), Audit[[#This Row],[Audit Candidate 9]]-Audit[[#This Row],[Candidate 9]], "")</f>
        <v/>
      </c>
      <c r="AN88" s="114" t="str">
        <f>IF(NOT(ISBLANK(Audit[[#This Row],[Audit Candidate 10]])), Audit[[#This Row],[Audit Candidate 10]]-Audit[[#This Row],[Candidate 10]], "")</f>
        <v/>
      </c>
      <c r="AO88" s="114" t="str">
        <f>IF(NOT(ISBLANK(Audit[[#This Row],[Audit Candidate 11]])), Audit[[#This Row],[Audit Candidate 11]]-Audit[[#This Row],[Candidate 11]], "")</f>
        <v/>
      </c>
      <c r="AP88" s="114" t="str">
        <f>IF(NOT(ISBLANK(Audit[[#This Row],[Audit Candidate 12]])), Audit[[#This Row],[Audit Candidate 12]]-Audit[[#This Row],[Candidate 12]], "")</f>
        <v/>
      </c>
      <c r="AQ88" s="114">
        <f>SUMIF(Audit[[#This Row],[Difference Winner]:[Difference Candidate 12]], "&gt;0")</f>
        <v>0</v>
      </c>
      <c r="AR88" s="114">
        <f>SUM(Audit[[#This Row],[Difference Winner]:[Difference Candidate 12]])</f>
        <v>0</v>
      </c>
      <c r="AS88" s="114">
        <f>IF(Audit[[#This Row],[Times p Drawn - With Replacement]]&gt;0, IF(Audit[[#This Row],[Canceled Differences]]&lt;0, Audit[[#This Row],[Max Differences]]+ABS(Audit[[#This Row],[Canceled Differences]]), Audit[[#This Row],[Max Differences]]), 0)</f>
        <v>0</v>
      </c>
      <c r="AT88" s="114">
        <f>'Sampling Data'!AB88</f>
        <v>2.3707383156468731E-3</v>
      </c>
      <c r="AU88" s="114">
        <f>IF(
      SUM(Audit[[#This Row],[Audit Losing Candidate]:[Audit Candidate 12]])
      &lt;&gt;0,
      (Audit[[#This Row],[Winning Candidate]]-Audit[[#This Row],[Losing Candidate]]-(Audit[[#This Row],[Audit Winning Candidate]]-Audit[[#This Row],[Audit Losing Candidate]]))/(Audit[[#Totals],[Winning Candidate]]-Audit[[#Totals],[Losing Candidate]]),
      0
)</f>
        <v>0</v>
      </c>
      <c r="AV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8" s="114">
        <f>IF(Audit[[#This Row],[Max Relative Error (ep)]] = 0, 0, Audit[[#This Row],[Max Relative Error (ep)]]/Audit[[#This Row],[Error Bound (up) - Max. possible relative overstatement]])</f>
        <v>0</v>
      </c>
      <c r="BH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8" s="114">
        <f t="shared" si="2"/>
        <v>1</v>
      </c>
      <c r="BJ88" s="114">
        <f>PRODUCT($BI$5:BI88)</f>
        <v>0.20973752198051165</v>
      </c>
      <c r="BK88" s="112">
        <f>1 - Audit[[#This Row],[K-M P Value]]</f>
        <v>0.79026247801948835</v>
      </c>
      <c r="BL88" s="114" t="str">
        <f>IF(Audit[[#This Row],[K-M P Value]]&gt;1-'General Info'!$B$12,"Continue", "Stop")</f>
        <v>Continue</v>
      </c>
      <c r="BM88" s="113" t="b">
        <f>IF(Audit[[#This Row],[Status - Continue or stop audit]] = "Continue", TRUE, IF(BL87 = "Continue", TRUE, FALSE))</f>
        <v>1</v>
      </c>
      <c r="BN88" s="113"/>
    </row>
    <row r="89" spans="1:66" ht="15" hidden="1" customHeight="1" x14ac:dyDescent="0.35">
      <c r="A89" s="114" t="str">
        <f>'Sampling Data'!AI89</f>
        <v/>
      </c>
      <c r="B89" s="114" t="str">
        <f>'Sampling Data'!A89</f>
        <v>1303 CIN 13-C   (AV)</v>
      </c>
      <c r="C89" s="114">
        <f>'Sampling Data'!B89</f>
        <v>12</v>
      </c>
      <c r="D89" s="114">
        <f>'Sampling Data'!C89</f>
        <v>0</v>
      </c>
      <c r="E89" s="115">
        <f>'Sampling Data'!D89</f>
        <v>0</v>
      </c>
      <c r="F89" s="115">
        <f>'Sampling Data'!E89</f>
        <v>0</v>
      </c>
      <c r="G89" s="115">
        <f>'Sampling Data'!F89</f>
        <v>0</v>
      </c>
      <c r="H89" s="115">
        <f>'Sampling Data'!G89</f>
        <v>0</v>
      </c>
      <c r="I89" s="115">
        <f>'Sampling Data'!H89</f>
        <v>0</v>
      </c>
      <c r="J89" s="115">
        <f>'Sampling Data'!I89</f>
        <v>0</v>
      </c>
      <c r="K89" s="115">
        <f>'Sampling Data'!J89</f>
        <v>0</v>
      </c>
      <c r="L89" s="115">
        <f>'Sampling Data'!K89</f>
        <v>0</v>
      </c>
      <c r="M89" s="115">
        <f>'Sampling Data'!L89</f>
        <v>0</v>
      </c>
      <c r="N89" s="115">
        <f>'Sampling Data'!M89</f>
        <v>0</v>
      </c>
      <c r="O89" s="114">
        <f>'Sampling Data'!N89</f>
        <v>0</v>
      </c>
      <c r="P89" s="114">
        <f>'Sampling Data'!O89</f>
        <v>0</v>
      </c>
      <c r="Q89" s="114">
        <f>'Sampling Data'!P89</f>
        <v>12</v>
      </c>
      <c r="R89" s="114">
        <f>'Sampling Data'!AJ89</f>
        <v>0</v>
      </c>
      <c r="S89" s="116"/>
      <c r="T89" s="116"/>
      <c r="U89" s="117"/>
      <c r="V89" s="117"/>
      <c r="W89" s="116"/>
      <c r="X89" s="116"/>
      <c r="Y89" s="116"/>
      <c r="Z89" s="116"/>
      <c r="AA89" s="15"/>
      <c r="AB89" s="15"/>
      <c r="AC89" s="15"/>
      <c r="AD89" s="15"/>
      <c r="AE89" s="118" t="str">
        <f>IF(NOT(ISBLANK(Audit[[#This Row],[Audit Winning Candidate]])), Audit[[#This Row],[Audit Winning Candidate]]-Audit[[#This Row],[Winning Candidate]], "")</f>
        <v/>
      </c>
      <c r="AF89" s="114" t="str">
        <f>IF(NOT(ISBLANK(Audit[[#This Row],[Audit Losing Candidate]])), Audit[[#This Row],[Audit Losing Candidate]]-Audit[[#This Row],[Losing Candidate]], "")</f>
        <v/>
      </c>
      <c r="AG89" s="114" t="str">
        <f>IF(NOT(ISBLANK(Audit[[#This Row],[Audit Candidate 3]])), Audit[[#This Row],[Audit Candidate 3]]-Audit[[#This Row],[Candidate 3]], "")</f>
        <v/>
      </c>
      <c r="AH89" s="114" t="str">
        <f>IF(NOT(ISBLANK(Audit[[#This Row],[Audit Candidate 4]])),Audit[[#This Row],[Audit Candidate 4]]-Audit[[#This Row],[Candidate 4]], "")</f>
        <v/>
      </c>
      <c r="AI89" s="114" t="str">
        <f>IF(NOT(ISBLANK(Audit[[#This Row],[Audit Candidate 5]])), Audit[[#This Row],[Audit Candidate 5]]-Audit[[#This Row],[Candidate 5]], "")</f>
        <v/>
      </c>
      <c r="AJ89" s="114" t="str">
        <f>IF(NOT(ISBLANK(Audit[[#This Row],[Audit Candidate 6]])), Audit[[#This Row],[Audit Candidate 6]]-Audit[[#This Row],[Candidate 6]], "")</f>
        <v/>
      </c>
      <c r="AK89" s="114" t="str">
        <f>IF(NOT(ISBLANK(Audit[[#This Row],[Audit Candidate 7]])), Audit[[#This Row],[Audit Candidate 7]]-Audit[[#This Row],[Candidate 7]], "")</f>
        <v/>
      </c>
      <c r="AL89" s="114" t="str">
        <f>IF(NOT(ISBLANK(Audit[[#This Row],[Audit Candidate 8]])), Audit[[#This Row],[Audit Candidate 8]]-Audit[[#This Row],[Candidate 8]], "")</f>
        <v/>
      </c>
      <c r="AM89" s="114" t="str">
        <f>IF(NOT(ISBLANK(Audit[[#This Row],[Audit Candidate 9]])), Audit[[#This Row],[Audit Candidate 9]]-Audit[[#This Row],[Candidate 9]], "")</f>
        <v/>
      </c>
      <c r="AN89" s="114" t="str">
        <f>IF(NOT(ISBLANK(Audit[[#This Row],[Audit Candidate 10]])), Audit[[#This Row],[Audit Candidate 10]]-Audit[[#This Row],[Candidate 10]], "")</f>
        <v/>
      </c>
      <c r="AO89" s="114" t="str">
        <f>IF(NOT(ISBLANK(Audit[[#This Row],[Audit Candidate 11]])), Audit[[#This Row],[Audit Candidate 11]]-Audit[[#This Row],[Candidate 11]], "")</f>
        <v/>
      </c>
      <c r="AP89" s="114" t="str">
        <f>IF(NOT(ISBLANK(Audit[[#This Row],[Audit Candidate 12]])), Audit[[#This Row],[Audit Candidate 12]]-Audit[[#This Row],[Candidate 12]], "")</f>
        <v/>
      </c>
      <c r="AQ89" s="114">
        <f>SUMIF(Audit[[#This Row],[Difference Winner]:[Difference Candidate 12]], "&gt;0")</f>
        <v>0</v>
      </c>
      <c r="AR89" s="114">
        <f>SUM(Audit[[#This Row],[Difference Winner]:[Difference Candidate 12]])</f>
        <v>0</v>
      </c>
      <c r="AS89" s="114">
        <f>IF(Audit[[#This Row],[Times p Drawn - With Replacement]]&gt;0, IF(Audit[[#This Row],[Canceled Differences]]&lt;0, Audit[[#This Row],[Max Differences]]+ABS(Audit[[#This Row],[Canceled Differences]]), Audit[[#This Row],[Max Differences]]), 0)</f>
        <v>0</v>
      </c>
      <c r="AT89" s="114">
        <f>'Sampling Data'!AB89</f>
        <v>1.5169711143416978E-3</v>
      </c>
      <c r="AU89" s="114">
        <f>IF(
      SUM(Audit[[#This Row],[Audit Losing Candidate]:[Audit Candidate 12]])
      &lt;&gt;0,
      (Audit[[#This Row],[Winning Candidate]]-Audit[[#This Row],[Losing Candidate]]-(Audit[[#This Row],[Audit Winning Candidate]]-Audit[[#This Row],[Audit Losing Candidate]]))/(Audit[[#Totals],[Winning Candidate]]-Audit[[#Totals],[Losing Candidate]]),
      0
)</f>
        <v>0</v>
      </c>
      <c r="AV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9" s="114">
        <f>IF(Audit[[#This Row],[Max Relative Error (ep)]] = 0, 0, Audit[[#This Row],[Max Relative Error (ep)]]/Audit[[#This Row],[Error Bound (up) - Max. possible relative overstatement]])</f>
        <v>0</v>
      </c>
      <c r="BH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89" s="114">
        <f t="shared" si="2"/>
        <v>1</v>
      </c>
      <c r="BJ89" s="114">
        <f>PRODUCT($BI$5:BI89)</f>
        <v>0.20973752198051165</v>
      </c>
      <c r="BK89" s="112">
        <f>1 - Audit[[#This Row],[K-M P Value]]</f>
        <v>0.79026247801948835</v>
      </c>
      <c r="BL89" s="114" t="str">
        <f>IF(Audit[[#This Row],[K-M P Value]]&gt;1-'General Info'!$B$12,"Continue", "Stop")</f>
        <v>Continue</v>
      </c>
      <c r="BM89" s="113" t="b">
        <f>IF(Audit[[#This Row],[Status - Continue or stop audit]] = "Continue", TRUE, IF(BL88 = "Continue", TRUE, FALSE))</f>
        <v>1</v>
      </c>
      <c r="BN89" s="113"/>
    </row>
    <row r="90" spans="1:66" ht="15" hidden="1" customHeight="1" x14ac:dyDescent="0.35">
      <c r="A90" s="114" t="str">
        <f>'Sampling Data'!AI90</f>
        <v/>
      </c>
      <c r="B90" s="114" t="str">
        <f>'Sampling Data'!A90</f>
        <v>1304 CIN 13-D   (AV)</v>
      </c>
      <c r="C90" s="114">
        <f>'Sampling Data'!B90</f>
        <v>16</v>
      </c>
      <c r="D90" s="114">
        <f>'Sampling Data'!C90</f>
        <v>3</v>
      </c>
      <c r="E90" s="115">
        <f>'Sampling Data'!D90</f>
        <v>0</v>
      </c>
      <c r="F90" s="115">
        <f>'Sampling Data'!E90</f>
        <v>0</v>
      </c>
      <c r="G90" s="115">
        <f>'Sampling Data'!F90</f>
        <v>0</v>
      </c>
      <c r="H90" s="115">
        <f>'Sampling Data'!G90</f>
        <v>0</v>
      </c>
      <c r="I90" s="115">
        <f>'Sampling Data'!H90</f>
        <v>0</v>
      </c>
      <c r="J90" s="115">
        <f>'Sampling Data'!I90</f>
        <v>0</v>
      </c>
      <c r="K90" s="115">
        <f>'Sampling Data'!J90</f>
        <v>0</v>
      </c>
      <c r="L90" s="115">
        <f>'Sampling Data'!K90</f>
        <v>0</v>
      </c>
      <c r="M90" s="115">
        <f>'Sampling Data'!L90</f>
        <v>0</v>
      </c>
      <c r="N90" s="115">
        <f>'Sampling Data'!M90</f>
        <v>0</v>
      </c>
      <c r="O90" s="114">
        <f>'Sampling Data'!N90</f>
        <v>0</v>
      </c>
      <c r="P90" s="114">
        <f>'Sampling Data'!O90</f>
        <v>0</v>
      </c>
      <c r="Q90" s="114">
        <f>'Sampling Data'!P90</f>
        <v>19</v>
      </c>
      <c r="R90" s="114">
        <f>'Sampling Data'!AJ90</f>
        <v>0</v>
      </c>
      <c r="S90" s="116"/>
      <c r="T90" s="116"/>
      <c r="U90" s="117"/>
      <c r="V90" s="117"/>
      <c r="W90" s="116"/>
      <c r="X90" s="116"/>
      <c r="Y90" s="116"/>
      <c r="Z90" s="116"/>
      <c r="AA90" s="15"/>
      <c r="AB90" s="15"/>
      <c r="AC90" s="15"/>
      <c r="AD90" s="15"/>
      <c r="AE90" s="118" t="str">
        <f>IF(NOT(ISBLANK(Audit[[#This Row],[Audit Winning Candidate]])), Audit[[#This Row],[Audit Winning Candidate]]-Audit[[#This Row],[Winning Candidate]], "")</f>
        <v/>
      </c>
      <c r="AF90" s="114" t="str">
        <f>IF(NOT(ISBLANK(Audit[[#This Row],[Audit Losing Candidate]])), Audit[[#This Row],[Audit Losing Candidate]]-Audit[[#This Row],[Losing Candidate]], "")</f>
        <v/>
      </c>
      <c r="AG90" s="114" t="str">
        <f>IF(NOT(ISBLANK(Audit[[#This Row],[Audit Candidate 3]])), Audit[[#This Row],[Audit Candidate 3]]-Audit[[#This Row],[Candidate 3]], "")</f>
        <v/>
      </c>
      <c r="AH90" s="114" t="str">
        <f>IF(NOT(ISBLANK(Audit[[#This Row],[Audit Candidate 4]])),Audit[[#This Row],[Audit Candidate 4]]-Audit[[#This Row],[Candidate 4]], "")</f>
        <v/>
      </c>
      <c r="AI90" s="114" t="str">
        <f>IF(NOT(ISBLANK(Audit[[#This Row],[Audit Candidate 5]])), Audit[[#This Row],[Audit Candidate 5]]-Audit[[#This Row],[Candidate 5]], "")</f>
        <v/>
      </c>
      <c r="AJ90" s="114" t="str">
        <f>IF(NOT(ISBLANK(Audit[[#This Row],[Audit Candidate 6]])), Audit[[#This Row],[Audit Candidate 6]]-Audit[[#This Row],[Candidate 6]], "")</f>
        <v/>
      </c>
      <c r="AK90" s="114" t="str">
        <f>IF(NOT(ISBLANK(Audit[[#This Row],[Audit Candidate 7]])), Audit[[#This Row],[Audit Candidate 7]]-Audit[[#This Row],[Candidate 7]], "")</f>
        <v/>
      </c>
      <c r="AL90" s="114" t="str">
        <f>IF(NOT(ISBLANK(Audit[[#This Row],[Audit Candidate 8]])), Audit[[#This Row],[Audit Candidate 8]]-Audit[[#This Row],[Candidate 8]], "")</f>
        <v/>
      </c>
      <c r="AM90" s="114" t="str">
        <f>IF(NOT(ISBLANK(Audit[[#This Row],[Audit Candidate 9]])), Audit[[#This Row],[Audit Candidate 9]]-Audit[[#This Row],[Candidate 9]], "")</f>
        <v/>
      </c>
      <c r="AN90" s="114" t="str">
        <f>IF(NOT(ISBLANK(Audit[[#This Row],[Audit Candidate 10]])), Audit[[#This Row],[Audit Candidate 10]]-Audit[[#This Row],[Candidate 10]], "")</f>
        <v/>
      </c>
      <c r="AO90" s="114" t="str">
        <f>IF(NOT(ISBLANK(Audit[[#This Row],[Audit Candidate 11]])), Audit[[#This Row],[Audit Candidate 11]]-Audit[[#This Row],[Candidate 11]], "")</f>
        <v/>
      </c>
      <c r="AP90" s="114" t="str">
        <f>IF(NOT(ISBLANK(Audit[[#This Row],[Audit Candidate 12]])), Audit[[#This Row],[Audit Candidate 12]]-Audit[[#This Row],[Candidate 12]], "")</f>
        <v/>
      </c>
      <c r="AQ90" s="114">
        <f>SUMIF(Audit[[#This Row],[Difference Winner]:[Difference Candidate 12]], "&gt;0")</f>
        <v>0</v>
      </c>
      <c r="AR90" s="114">
        <f>SUM(Audit[[#This Row],[Difference Winner]:[Difference Candidate 12]])</f>
        <v>0</v>
      </c>
      <c r="AS90" s="114">
        <f>IF(Audit[[#This Row],[Times p Drawn - With Replacement]]&gt;0, IF(Audit[[#This Row],[Canceled Differences]]&lt;0, Audit[[#This Row],[Max Differences]]+ABS(Audit[[#This Row],[Canceled Differences]]), Audit[[#This Row],[Max Differences]]), 0)</f>
        <v>0</v>
      </c>
      <c r="AT90" s="114">
        <f>'Sampling Data'!AB90</f>
        <v>2.022628152455597E-3</v>
      </c>
      <c r="AU90" s="114">
        <f>IF(
      SUM(Audit[[#This Row],[Audit Losing Candidate]:[Audit Candidate 12]])
      &lt;&gt;0,
      (Audit[[#This Row],[Winning Candidate]]-Audit[[#This Row],[Losing Candidate]]-(Audit[[#This Row],[Audit Winning Candidate]]-Audit[[#This Row],[Audit Losing Candidate]]))/(Audit[[#Totals],[Winning Candidate]]-Audit[[#Totals],[Losing Candidate]]),
      0
)</f>
        <v>0</v>
      </c>
      <c r="AV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0" s="114">
        <f>IF(Audit[[#This Row],[Max Relative Error (ep)]] = 0, 0, Audit[[#This Row],[Max Relative Error (ep)]]/Audit[[#This Row],[Error Bound (up) - Max. possible relative overstatement]])</f>
        <v>0</v>
      </c>
      <c r="BH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0" s="114">
        <f t="shared" si="2"/>
        <v>1</v>
      </c>
      <c r="BJ90" s="114">
        <f>PRODUCT($BI$5:BI90)</f>
        <v>0.20973752198051165</v>
      </c>
      <c r="BK90" s="112">
        <f>1 - Audit[[#This Row],[K-M P Value]]</f>
        <v>0.79026247801948835</v>
      </c>
      <c r="BL90" s="114" t="str">
        <f>IF(Audit[[#This Row],[K-M P Value]]&gt;1-'General Info'!$B$12,"Continue", "Stop")</f>
        <v>Continue</v>
      </c>
      <c r="BM90" s="113" t="b">
        <f>IF(Audit[[#This Row],[Status - Continue or stop audit]] = "Continue", TRUE, IF(BL89 = "Continue", TRUE, FALSE))</f>
        <v>1</v>
      </c>
      <c r="BN90" s="113"/>
    </row>
    <row r="91" spans="1:66" ht="15" hidden="1" customHeight="1" x14ac:dyDescent="0.35">
      <c r="A91" s="114" t="str">
        <f>'Sampling Data'!AI91</f>
        <v/>
      </c>
      <c r="B91" s="114" t="str">
        <f>'Sampling Data'!A91</f>
        <v>1305 CIN 13-E   (AV)</v>
      </c>
      <c r="C91" s="114">
        <f>'Sampling Data'!B91</f>
        <v>54</v>
      </c>
      <c r="D91" s="114">
        <f>'Sampling Data'!C91</f>
        <v>2</v>
      </c>
      <c r="E91" s="115">
        <f>'Sampling Data'!D91</f>
        <v>2</v>
      </c>
      <c r="F91" s="115">
        <f>'Sampling Data'!E91</f>
        <v>0</v>
      </c>
      <c r="G91" s="115">
        <f>'Sampling Data'!F91</f>
        <v>0</v>
      </c>
      <c r="H91" s="115">
        <f>'Sampling Data'!G91</f>
        <v>0</v>
      </c>
      <c r="I91" s="115">
        <f>'Sampling Data'!H91</f>
        <v>0</v>
      </c>
      <c r="J91" s="115">
        <f>'Sampling Data'!I91</f>
        <v>0</v>
      </c>
      <c r="K91" s="115">
        <f>'Sampling Data'!J91</f>
        <v>0</v>
      </c>
      <c r="L91" s="115">
        <f>'Sampling Data'!K91</f>
        <v>0</v>
      </c>
      <c r="M91" s="115">
        <f>'Sampling Data'!L91</f>
        <v>0</v>
      </c>
      <c r="N91" s="115">
        <f>'Sampling Data'!M91</f>
        <v>0</v>
      </c>
      <c r="O91" s="114">
        <f>'Sampling Data'!N91</f>
        <v>0</v>
      </c>
      <c r="P91" s="114">
        <f>'Sampling Data'!O91</f>
        <v>0</v>
      </c>
      <c r="Q91" s="114">
        <f>'Sampling Data'!P91</f>
        <v>58</v>
      </c>
      <c r="R91" s="114">
        <f>'Sampling Data'!AJ91</f>
        <v>0</v>
      </c>
      <c r="S91" s="116"/>
      <c r="T91" s="116"/>
      <c r="U91" s="117"/>
      <c r="V91" s="117"/>
      <c r="W91" s="116"/>
      <c r="X91" s="116"/>
      <c r="Y91" s="116"/>
      <c r="Z91" s="116"/>
      <c r="AA91" s="15"/>
      <c r="AB91" s="15"/>
      <c r="AC91" s="15"/>
      <c r="AD91" s="15"/>
      <c r="AE91" s="118" t="str">
        <f>IF(NOT(ISBLANK(Audit[[#This Row],[Audit Winning Candidate]])), Audit[[#This Row],[Audit Winning Candidate]]-Audit[[#This Row],[Winning Candidate]], "")</f>
        <v/>
      </c>
      <c r="AF91" s="114" t="str">
        <f>IF(NOT(ISBLANK(Audit[[#This Row],[Audit Losing Candidate]])), Audit[[#This Row],[Audit Losing Candidate]]-Audit[[#This Row],[Losing Candidate]], "")</f>
        <v/>
      </c>
      <c r="AG91" s="114" t="str">
        <f>IF(NOT(ISBLANK(Audit[[#This Row],[Audit Candidate 3]])), Audit[[#This Row],[Audit Candidate 3]]-Audit[[#This Row],[Candidate 3]], "")</f>
        <v/>
      </c>
      <c r="AH91" s="114" t="str">
        <f>IF(NOT(ISBLANK(Audit[[#This Row],[Audit Candidate 4]])),Audit[[#This Row],[Audit Candidate 4]]-Audit[[#This Row],[Candidate 4]], "")</f>
        <v/>
      </c>
      <c r="AI91" s="114" t="str">
        <f>IF(NOT(ISBLANK(Audit[[#This Row],[Audit Candidate 5]])), Audit[[#This Row],[Audit Candidate 5]]-Audit[[#This Row],[Candidate 5]], "")</f>
        <v/>
      </c>
      <c r="AJ91" s="114" t="str">
        <f>IF(NOT(ISBLANK(Audit[[#This Row],[Audit Candidate 6]])), Audit[[#This Row],[Audit Candidate 6]]-Audit[[#This Row],[Candidate 6]], "")</f>
        <v/>
      </c>
      <c r="AK91" s="114" t="str">
        <f>IF(NOT(ISBLANK(Audit[[#This Row],[Audit Candidate 7]])), Audit[[#This Row],[Audit Candidate 7]]-Audit[[#This Row],[Candidate 7]], "")</f>
        <v/>
      </c>
      <c r="AL91" s="114" t="str">
        <f>IF(NOT(ISBLANK(Audit[[#This Row],[Audit Candidate 8]])), Audit[[#This Row],[Audit Candidate 8]]-Audit[[#This Row],[Candidate 8]], "")</f>
        <v/>
      </c>
      <c r="AM91" s="114" t="str">
        <f>IF(NOT(ISBLANK(Audit[[#This Row],[Audit Candidate 9]])), Audit[[#This Row],[Audit Candidate 9]]-Audit[[#This Row],[Candidate 9]], "")</f>
        <v/>
      </c>
      <c r="AN91" s="114" t="str">
        <f>IF(NOT(ISBLANK(Audit[[#This Row],[Audit Candidate 10]])), Audit[[#This Row],[Audit Candidate 10]]-Audit[[#This Row],[Candidate 10]], "")</f>
        <v/>
      </c>
      <c r="AO91" s="114" t="str">
        <f>IF(NOT(ISBLANK(Audit[[#This Row],[Audit Candidate 11]])), Audit[[#This Row],[Audit Candidate 11]]-Audit[[#This Row],[Candidate 11]], "")</f>
        <v/>
      </c>
      <c r="AP91" s="114" t="str">
        <f>IF(NOT(ISBLANK(Audit[[#This Row],[Audit Candidate 12]])), Audit[[#This Row],[Audit Candidate 12]]-Audit[[#This Row],[Candidate 12]], "")</f>
        <v/>
      </c>
      <c r="AQ91" s="114">
        <f>SUMIF(Audit[[#This Row],[Difference Winner]:[Difference Candidate 12]], "&gt;0")</f>
        <v>0</v>
      </c>
      <c r="AR91" s="114">
        <f>SUM(Audit[[#This Row],[Difference Winner]:[Difference Candidate 12]])</f>
        <v>0</v>
      </c>
      <c r="AS91" s="114">
        <f>IF(Audit[[#This Row],[Times p Drawn - With Replacement]]&gt;0, IF(Audit[[#This Row],[Canceled Differences]]&lt;0, Audit[[#This Row],[Max Differences]]+ABS(Audit[[#This Row],[Canceled Differences]]), Audit[[#This Row],[Max Differences]]), 0)</f>
        <v>0</v>
      </c>
      <c r="AT91" s="114">
        <f>'Sampling Data'!AB91</f>
        <v>6.9527842740661145E-3</v>
      </c>
      <c r="AU91" s="114">
        <f>IF(
      SUM(Audit[[#This Row],[Audit Losing Candidate]:[Audit Candidate 12]])
      &lt;&gt;0,
      (Audit[[#This Row],[Winning Candidate]]-Audit[[#This Row],[Losing Candidate]]-(Audit[[#This Row],[Audit Winning Candidate]]-Audit[[#This Row],[Audit Losing Candidate]]))/(Audit[[#Totals],[Winning Candidate]]-Audit[[#Totals],[Losing Candidate]]),
      0
)</f>
        <v>0</v>
      </c>
      <c r="AV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1" s="114">
        <f>IF(Audit[[#This Row],[Max Relative Error (ep)]] = 0, 0, Audit[[#This Row],[Max Relative Error (ep)]]/Audit[[#This Row],[Error Bound (up) - Max. possible relative overstatement]])</f>
        <v>0</v>
      </c>
      <c r="BH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1" s="114">
        <f t="shared" si="2"/>
        <v>1</v>
      </c>
      <c r="BJ91" s="114">
        <f>PRODUCT($BI$5:BI91)</f>
        <v>0.20973752198051165</v>
      </c>
      <c r="BK91" s="112">
        <f>1 - Audit[[#This Row],[K-M P Value]]</f>
        <v>0.79026247801948835</v>
      </c>
      <c r="BL91" s="114" t="str">
        <f>IF(Audit[[#This Row],[K-M P Value]]&gt;1-'General Info'!$B$12,"Continue", "Stop")</f>
        <v>Continue</v>
      </c>
      <c r="BM91" s="113" t="b">
        <f>IF(Audit[[#This Row],[Status - Continue or stop audit]] = "Continue", TRUE, IF(BL90 = "Continue", TRUE, FALSE))</f>
        <v>1</v>
      </c>
      <c r="BN91" s="113"/>
    </row>
    <row r="92" spans="1:66" ht="15" hidden="1" customHeight="1" x14ac:dyDescent="0.35">
      <c r="A92" s="114" t="str">
        <f>'Sampling Data'!AI92</f>
        <v/>
      </c>
      <c r="B92" s="114" t="str">
        <f>'Sampling Data'!A92</f>
        <v>1306 CIN 13-F   (AV)</v>
      </c>
      <c r="C92" s="114">
        <f>'Sampling Data'!B92</f>
        <v>32</v>
      </c>
      <c r="D92" s="114">
        <f>'Sampling Data'!C92</f>
        <v>4</v>
      </c>
      <c r="E92" s="115">
        <f>'Sampling Data'!D92</f>
        <v>0</v>
      </c>
      <c r="F92" s="115">
        <f>'Sampling Data'!E92</f>
        <v>0</v>
      </c>
      <c r="G92" s="115">
        <f>'Sampling Data'!F92</f>
        <v>0</v>
      </c>
      <c r="H92" s="115">
        <f>'Sampling Data'!G92</f>
        <v>0</v>
      </c>
      <c r="I92" s="115">
        <f>'Sampling Data'!H92</f>
        <v>0</v>
      </c>
      <c r="J92" s="115">
        <f>'Sampling Data'!I92</f>
        <v>0</v>
      </c>
      <c r="K92" s="115">
        <f>'Sampling Data'!J92</f>
        <v>0</v>
      </c>
      <c r="L92" s="115">
        <f>'Sampling Data'!K92</f>
        <v>0</v>
      </c>
      <c r="M92" s="115">
        <f>'Sampling Data'!L92</f>
        <v>0</v>
      </c>
      <c r="N92" s="115">
        <f>'Sampling Data'!M92</f>
        <v>0</v>
      </c>
      <c r="O92" s="114">
        <f>'Sampling Data'!N92</f>
        <v>0</v>
      </c>
      <c r="P92" s="114">
        <f>'Sampling Data'!O92</f>
        <v>0</v>
      </c>
      <c r="Q92" s="114">
        <f>'Sampling Data'!P92</f>
        <v>36</v>
      </c>
      <c r="R92" s="114">
        <f>'Sampling Data'!AJ92</f>
        <v>0</v>
      </c>
      <c r="S92" s="116"/>
      <c r="T92" s="116"/>
      <c r="U92" s="117"/>
      <c r="V92" s="117"/>
      <c r="W92" s="116"/>
      <c r="X92" s="116"/>
      <c r="Y92" s="116"/>
      <c r="Z92" s="116"/>
      <c r="AA92" s="15"/>
      <c r="AB92" s="15"/>
      <c r="AC92" s="15"/>
      <c r="AD92" s="15"/>
      <c r="AE92" s="118" t="str">
        <f>IF(NOT(ISBLANK(Audit[[#This Row],[Audit Winning Candidate]])), Audit[[#This Row],[Audit Winning Candidate]]-Audit[[#This Row],[Winning Candidate]], "")</f>
        <v/>
      </c>
      <c r="AF92" s="114" t="str">
        <f>IF(NOT(ISBLANK(Audit[[#This Row],[Audit Losing Candidate]])), Audit[[#This Row],[Audit Losing Candidate]]-Audit[[#This Row],[Losing Candidate]], "")</f>
        <v/>
      </c>
      <c r="AG92" s="114" t="str">
        <f>IF(NOT(ISBLANK(Audit[[#This Row],[Audit Candidate 3]])), Audit[[#This Row],[Audit Candidate 3]]-Audit[[#This Row],[Candidate 3]], "")</f>
        <v/>
      </c>
      <c r="AH92" s="114" t="str">
        <f>IF(NOT(ISBLANK(Audit[[#This Row],[Audit Candidate 4]])),Audit[[#This Row],[Audit Candidate 4]]-Audit[[#This Row],[Candidate 4]], "")</f>
        <v/>
      </c>
      <c r="AI92" s="114" t="str">
        <f>IF(NOT(ISBLANK(Audit[[#This Row],[Audit Candidate 5]])), Audit[[#This Row],[Audit Candidate 5]]-Audit[[#This Row],[Candidate 5]], "")</f>
        <v/>
      </c>
      <c r="AJ92" s="114" t="str">
        <f>IF(NOT(ISBLANK(Audit[[#This Row],[Audit Candidate 6]])), Audit[[#This Row],[Audit Candidate 6]]-Audit[[#This Row],[Candidate 6]], "")</f>
        <v/>
      </c>
      <c r="AK92" s="114" t="str">
        <f>IF(NOT(ISBLANK(Audit[[#This Row],[Audit Candidate 7]])), Audit[[#This Row],[Audit Candidate 7]]-Audit[[#This Row],[Candidate 7]], "")</f>
        <v/>
      </c>
      <c r="AL92" s="114" t="str">
        <f>IF(NOT(ISBLANK(Audit[[#This Row],[Audit Candidate 8]])), Audit[[#This Row],[Audit Candidate 8]]-Audit[[#This Row],[Candidate 8]], "")</f>
        <v/>
      </c>
      <c r="AM92" s="114" t="str">
        <f>IF(NOT(ISBLANK(Audit[[#This Row],[Audit Candidate 9]])), Audit[[#This Row],[Audit Candidate 9]]-Audit[[#This Row],[Candidate 9]], "")</f>
        <v/>
      </c>
      <c r="AN92" s="114" t="str">
        <f>IF(NOT(ISBLANK(Audit[[#This Row],[Audit Candidate 10]])), Audit[[#This Row],[Audit Candidate 10]]-Audit[[#This Row],[Candidate 10]], "")</f>
        <v/>
      </c>
      <c r="AO92" s="114" t="str">
        <f>IF(NOT(ISBLANK(Audit[[#This Row],[Audit Candidate 11]])), Audit[[#This Row],[Audit Candidate 11]]-Audit[[#This Row],[Candidate 11]], "")</f>
        <v/>
      </c>
      <c r="AP92" s="114" t="str">
        <f>IF(NOT(ISBLANK(Audit[[#This Row],[Audit Candidate 12]])), Audit[[#This Row],[Audit Candidate 12]]-Audit[[#This Row],[Candidate 12]], "")</f>
        <v/>
      </c>
      <c r="AQ92" s="114">
        <f>SUMIF(Audit[[#This Row],[Difference Winner]:[Difference Candidate 12]], "&gt;0")</f>
        <v>0</v>
      </c>
      <c r="AR92" s="114">
        <f>SUM(Audit[[#This Row],[Difference Winner]:[Difference Candidate 12]])</f>
        <v>0</v>
      </c>
      <c r="AS92" s="114">
        <f>IF(Audit[[#This Row],[Times p Drawn - With Replacement]]&gt;0, IF(Audit[[#This Row],[Canceled Differences]]&lt;0, Audit[[#This Row],[Max Differences]]+ABS(Audit[[#This Row],[Canceled Differences]]), Audit[[#This Row],[Max Differences]]), 0)</f>
        <v>0</v>
      </c>
      <c r="AT92" s="114">
        <f>'Sampling Data'!AB92</f>
        <v>4.0452563049111941E-3</v>
      </c>
      <c r="AU92" s="114">
        <f>IF(
      SUM(Audit[[#This Row],[Audit Losing Candidate]:[Audit Candidate 12]])
      &lt;&gt;0,
      (Audit[[#This Row],[Winning Candidate]]-Audit[[#This Row],[Losing Candidate]]-(Audit[[#This Row],[Audit Winning Candidate]]-Audit[[#This Row],[Audit Losing Candidate]]))/(Audit[[#Totals],[Winning Candidate]]-Audit[[#Totals],[Losing Candidate]]),
      0
)</f>
        <v>0</v>
      </c>
      <c r="AV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2" s="114">
        <f>IF(Audit[[#This Row],[Max Relative Error (ep)]] = 0, 0, Audit[[#This Row],[Max Relative Error (ep)]]/Audit[[#This Row],[Error Bound (up) - Max. possible relative overstatement]])</f>
        <v>0</v>
      </c>
      <c r="BH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2" s="114">
        <f t="shared" si="2"/>
        <v>1</v>
      </c>
      <c r="BJ92" s="114">
        <f>PRODUCT($BI$5:BI92)</f>
        <v>0.20973752198051165</v>
      </c>
      <c r="BK92" s="112">
        <f>1 - Audit[[#This Row],[K-M P Value]]</f>
        <v>0.79026247801948835</v>
      </c>
      <c r="BL92" s="114" t="str">
        <f>IF(Audit[[#This Row],[K-M P Value]]&gt;1-'General Info'!$B$12,"Continue", "Stop")</f>
        <v>Continue</v>
      </c>
      <c r="BM92" s="113" t="b">
        <f>IF(Audit[[#This Row],[Status - Continue or stop audit]] = "Continue", TRUE, IF(BL91 = "Continue", TRUE, FALSE))</f>
        <v>1</v>
      </c>
      <c r="BN92" s="113"/>
    </row>
    <row r="93" spans="1:66" ht="15" hidden="1" customHeight="1" x14ac:dyDescent="0.35">
      <c r="A93" s="114" t="str">
        <f>'Sampling Data'!AI93</f>
        <v/>
      </c>
      <c r="B93" s="114" t="str">
        <f>'Sampling Data'!A93</f>
        <v>1307 CIN 13-G   (AV)</v>
      </c>
      <c r="C93" s="114">
        <f>'Sampling Data'!B93</f>
        <v>21</v>
      </c>
      <c r="D93" s="114">
        <f>'Sampling Data'!C93</f>
        <v>0</v>
      </c>
      <c r="E93" s="115">
        <f>'Sampling Data'!D93</f>
        <v>0</v>
      </c>
      <c r="F93" s="115">
        <f>'Sampling Data'!E93</f>
        <v>0</v>
      </c>
      <c r="G93" s="115">
        <f>'Sampling Data'!F93</f>
        <v>0</v>
      </c>
      <c r="H93" s="115">
        <f>'Sampling Data'!G93</f>
        <v>0</v>
      </c>
      <c r="I93" s="115">
        <f>'Sampling Data'!H93</f>
        <v>0</v>
      </c>
      <c r="J93" s="115">
        <f>'Sampling Data'!I93</f>
        <v>0</v>
      </c>
      <c r="K93" s="115">
        <f>'Sampling Data'!J93</f>
        <v>0</v>
      </c>
      <c r="L93" s="115">
        <f>'Sampling Data'!K93</f>
        <v>0</v>
      </c>
      <c r="M93" s="115">
        <f>'Sampling Data'!L93</f>
        <v>0</v>
      </c>
      <c r="N93" s="115">
        <f>'Sampling Data'!M93</f>
        <v>0</v>
      </c>
      <c r="O93" s="114">
        <f>'Sampling Data'!N93</f>
        <v>0</v>
      </c>
      <c r="P93" s="114">
        <f>'Sampling Data'!O93</f>
        <v>0</v>
      </c>
      <c r="Q93" s="114">
        <f>'Sampling Data'!P93</f>
        <v>21</v>
      </c>
      <c r="R93" s="114">
        <f>'Sampling Data'!AJ93</f>
        <v>0</v>
      </c>
      <c r="S93" s="116"/>
      <c r="T93" s="116"/>
      <c r="U93" s="117"/>
      <c r="V93" s="117"/>
      <c r="W93" s="116"/>
      <c r="X93" s="116"/>
      <c r="Y93" s="116"/>
      <c r="Z93" s="116"/>
      <c r="AA93" s="15"/>
      <c r="AB93" s="15"/>
      <c r="AC93" s="15"/>
      <c r="AD93" s="15"/>
      <c r="AE93" s="118" t="str">
        <f>IF(NOT(ISBLANK(Audit[[#This Row],[Audit Winning Candidate]])), Audit[[#This Row],[Audit Winning Candidate]]-Audit[[#This Row],[Winning Candidate]], "")</f>
        <v/>
      </c>
      <c r="AF93" s="114" t="str">
        <f>IF(NOT(ISBLANK(Audit[[#This Row],[Audit Losing Candidate]])), Audit[[#This Row],[Audit Losing Candidate]]-Audit[[#This Row],[Losing Candidate]], "")</f>
        <v/>
      </c>
      <c r="AG93" s="114" t="str">
        <f>IF(NOT(ISBLANK(Audit[[#This Row],[Audit Candidate 3]])), Audit[[#This Row],[Audit Candidate 3]]-Audit[[#This Row],[Candidate 3]], "")</f>
        <v/>
      </c>
      <c r="AH93" s="114" t="str">
        <f>IF(NOT(ISBLANK(Audit[[#This Row],[Audit Candidate 4]])),Audit[[#This Row],[Audit Candidate 4]]-Audit[[#This Row],[Candidate 4]], "")</f>
        <v/>
      </c>
      <c r="AI93" s="114" t="str">
        <f>IF(NOT(ISBLANK(Audit[[#This Row],[Audit Candidate 5]])), Audit[[#This Row],[Audit Candidate 5]]-Audit[[#This Row],[Candidate 5]], "")</f>
        <v/>
      </c>
      <c r="AJ93" s="114" t="str">
        <f>IF(NOT(ISBLANK(Audit[[#This Row],[Audit Candidate 6]])), Audit[[#This Row],[Audit Candidate 6]]-Audit[[#This Row],[Candidate 6]], "")</f>
        <v/>
      </c>
      <c r="AK93" s="114" t="str">
        <f>IF(NOT(ISBLANK(Audit[[#This Row],[Audit Candidate 7]])), Audit[[#This Row],[Audit Candidate 7]]-Audit[[#This Row],[Candidate 7]], "")</f>
        <v/>
      </c>
      <c r="AL93" s="114" t="str">
        <f>IF(NOT(ISBLANK(Audit[[#This Row],[Audit Candidate 8]])), Audit[[#This Row],[Audit Candidate 8]]-Audit[[#This Row],[Candidate 8]], "")</f>
        <v/>
      </c>
      <c r="AM93" s="114" t="str">
        <f>IF(NOT(ISBLANK(Audit[[#This Row],[Audit Candidate 9]])), Audit[[#This Row],[Audit Candidate 9]]-Audit[[#This Row],[Candidate 9]], "")</f>
        <v/>
      </c>
      <c r="AN93" s="114" t="str">
        <f>IF(NOT(ISBLANK(Audit[[#This Row],[Audit Candidate 10]])), Audit[[#This Row],[Audit Candidate 10]]-Audit[[#This Row],[Candidate 10]], "")</f>
        <v/>
      </c>
      <c r="AO93" s="114" t="str">
        <f>IF(NOT(ISBLANK(Audit[[#This Row],[Audit Candidate 11]])), Audit[[#This Row],[Audit Candidate 11]]-Audit[[#This Row],[Candidate 11]], "")</f>
        <v/>
      </c>
      <c r="AP93" s="114" t="str">
        <f>IF(NOT(ISBLANK(Audit[[#This Row],[Audit Candidate 12]])), Audit[[#This Row],[Audit Candidate 12]]-Audit[[#This Row],[Candidate 12]], "")</f>
        <v/>
      </c>
      <c r="AQ93" s="114">
        <f>SUMIF(Audit[[#This Row],[Difference Winner]:[Difference Candidate 12]], "&gt;0")</f>
        <v>0</v>
      </c>
      <c r="AR93" s="114">
        <f>SUM(Audit[[#This Row],[Difference Winner]:[Difference Candidate 12]])</f>
        <v>0</v>
      </c>
      <c r="AS93" s="114">
        <f>IF(Audit[[#This Row],[Times p Drawn - With Replacement]]&gt;0, IF(Audit[[#This Row],[Canceled Differences]]&lt;0, Audit[[#This Row],[Max Differences]]+ABS(Audit[[#This Row],[Canceled Differences]]), Audit[[#This Row],[Max Differences]]), 0)</f>
        <v>0</v>
      </c>
      <c r="AT93" s="114">
        <f>'Sampling Data'!AB93</f>
        <v>2.654699450097971E-3</v>
      </c>
      <c r="AU93" s="114">
        <f>IF(
      SUM(Audit[[#This Row],[Audit Losing Candidate]:[Audit Candidate 12]])
      &lt;&gt;0,
      (Audit[[#This Row],[Winning Candidate]]-Audit[[#This Row],[Losing Candidate]]-(Audit[[#This Row],[Audit Winning Candidate]]-Audit[[#This Row],[Audit Losing Candidate]]))/(Audit[[#Totals],[Winning Candidate]]-Audit[[#Totals],[Losing Candidate]]),
      0
)</f>
        <v>0</v>
      </c>
      <c r="AV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3" s="114">
        <f>IF(Audit[[#This Row],[Max Relative Error (ep)]] = 0, 0, Audit[[#This Row],[Max Relative Error (ep)]]/Audit[[#This Row],[Error Bound (up) - Max. possible relative overstatement]])</f>
        <v>0</v>
      </c>
      <c r="BH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3" s="114">
        <f t="shared" si="2"/>
        <v>1</v>
      </c>
      <c r="BJ93" s="114">
        <f>PRODUCT($BI$5:BI93)</f>
        <v>0.20973752198051165</v>
      </c>
      <c r="BK93" s="112">
        <f>1 - Audit[[#This Row],[K-M P Value]]</f>
        <v>0.79026247801948835</v>
      </c>
      <c r="BL93" s="114" t="str">
        <f>IF(Audit[[#This Row],[K-M P Value]]&gt;1-'General Info'!$B$12,"Continue", "Stop")</f>
        <v>Continue</v>
      </c>
      <c r="BM93" s="113" t="b">
        <f>IF(Audit[[#This Row],[Status - Continue or stop audit]] = "Continue", TRUE, IF(BL92 = "Continue", TRUE, FALSE))</f>
        <v>1</v>
      </c>
      <c r="BN93" s="113"/>
    </row>
    <row r="94" spans="1:66" ht="15" hidden="1" customHeight="1" x14ac:dyDescent="0.35">
      <c r="A94" s="114" t="str">
        <f>'Sampling Data'!AI94</f>
        <v/>
      </c>
      <c r="B94" s="114" t="str">
        <f>'Sampling Data'!A94</f>
        <v>1308 CIN 13-H   (AV)</v>
      </c>
      <c r="C94" s="114">
        <f>'Sampling Data'!B94</f>
        <v>3</v>
      </c>
      <c r="D94" s="114">
        <f>'Sampling Data'!C94</f>
        <v>0</v>
      </c>
      <c r="E94" s="115">
        <f>'Sampling Data'!D94</f>
        <v>1</v>
      </c>
      <c r="F94" s="115">
        <f>'Sampling Data'!E94</f>
        <v>0</v>
      </c>
      <c r="G94" s="115">
        <f>'Sampling Data'!F94</f>
        <v>0</v>
      </c>
      <c r="H94" s="115">
        <f>'Sampling Data'!G94</f>
        <v>0</v>
      </c>
      <c r="I94" s="115">
        <f>'Sampling Data'!H94</f>
        <v>0</v>
      </c>
      <c r="J94" s="115">
        <f>'Sampling Data'!I94</f>
        <v>0</v>
      </c>
      <c r="K94" s="115">
        <f>'Sampling Data'!J94</f>
        <v>0</v>
      </c>
      <c r="L94" s="115">
        <f>'Sampling Data'!K94</f>
        <v>0</v>
      </c>
      <c r="M94" s="115">
        <f>'Sampling Data'!L94</f>
        <v>0</v>
      </c>
      <c r="N94" s="115">
        <f>'Sampling Data'!M94</f>
        <v>0</v>
      </c>
      <c r="O94" s="114">
        <f>'Sampling Data'!N94</f>
        <v>0</v>
      </c>
      <c r="P94" s="114">
        <f>'Sampling Data'!O94</f>
        <v>0</v>
      </c>
      <c r="Q94" s="114">
        <f>'Sampling Data'!P94</f>
        <v>4</v>
      </c>
      <c r="R94" s="114">
        <f>'Sampling Data'!AJ94</f>
        <v>0</v>
      </c>
      <c r="S94" s="116"/>
      <c r="T94" s="116"/>
      <c r="U94" s="117"/>
      <c r="V94" s="117"/>
      <c r="W94" s="116"/>
      <c r="X94" s="116"/>
      <c r="Y94" s="116"/>
      <c r="Z94" s="116"/>
      <c r="AA94" s="15"/>
      <c r="AB94" s="15"/>
      <c r="AC94" s="15"/>
      <c r="AD94" s="15"/>
      <c r="AE94" s="118" t="str">
        <f>IF(NOT(ISBLANK(Audit[[#This Row],[Audit Winning Candidate]])), Audit[[#This Row],[Audit Winning Candidate]]-Audit[[#This Row],[Winning Candidate]], "")</f>
        <v/>
      </c>
      <c r="AF94" s="114" t="str">
        <f>IF(NOT(ISBLANK(Audit[[#This Row],[Audit Losing Candidate]])), Audit[[#This Row],[Audit Losing Candidate]]-Audit[[#This Row],[Losing Candidate]], "")</f>
        <v/>
      </c>
      <c r="AG94" s="114" t="str">
        <f>IF(NOT(ISBLANK(Audit[[#This Row],[Audit Candidate 3]])), Audit[[#This Row],[Audit Candidate 3]]-Audit[[#This Row],[Candidate 3]], "")</f>
        <v/>
      </c>
      <c r="AH94" s="114" t="str">
        <f>IF(NOT(ISBLANK(Audit[[#This Row],[Audit Candidate 4]])),Audit[[#This Row],[Audit Candidate 4]]-Audit[[#This Row],[Candidate 4]], "")</f>
        <v/>
      </c>
      <c r="AI94" s="114" t="str">
        <f>IF(NOT(ISBLANK(Audit[[#This Row],[Audit Candidate 5]])), Audit[[#This Row],[Audit Candidate 5]]-Audit[[#This Row],[Candidate 5]], "")</f>
        <v/>
      </c>
      <c r="AJ94" s="114" t="str">
        <f>IF(NOT(ISBLANK(Audit[[#This Row],[Audit Candidate 6]])), Audit[[#This Row],[Audit Candidate 6]]-Audit[[#This Row],[Candidate 6]], "")</f>
        <v/>
      </c>
      <c r="AK94" s="114" t="str">
        <f>IF(NOT(ISBLANK(Audit[[#This Row],[Audit Candidate 7]])), Audit[[#This Row],[Audit Candidate 7]]-Audit[[#This Row],[Candidate 7]], "")</f>
        <v/>
      </c>
      <c r="AL94" s="114" t="str">
        <f>IF(NOT(ISBLANK(Audit[[#This Row],[Audit Candidate 8]])), Audit[[#This Row],[Audit Candidate 8]]-Audit[[#This Row],[Candidate 8]], "")</f>
        <v/>
      </c>
      <c r="AM94" s="114" t="str">
        <f>IF(NOT(ISBLANK(Audit[[#This Row],[Audit Candidate 9]])), Audit[[#This Row],[Audit Candidate 9]]-Audit[[#This Row],[Candidate 9]], "")</f>
        <v/>
      </c>
      <c r="AN94" s="114" t="str">
        <f>IF(NOT(ISBLANK(Audit[[#This Row],[Audit Candidate 10]])), Audit[[#This Row],[Audit Candidate 10]]-Audit[[#This Row],[Candidate 10]], "")</f>
        <v/>
      </c>
      <c r="AO94" s="114" t="str">
        <f>IF(NOT(ISBLANK(Audit[[#This Row],[Audit Candidate 11]])), Audit[[#This Row],[Audit Candidate 11]]-Audit[[#This Row],[Candidate 11]], "")</f>
        <v/>
      </c>
      <c r="AP94" s="114" t="str">
        <f>IF(NOT(ISBLANK(Audit[[#This Row],[Audit Candidate 12]])), Audit[[#This Row],[Audit Candidate 12]]-Audit[[#This Row],[Candidate 12]], "")</f>
        <v/>
      </c>
      <c r="AQ94" s="114">
        <f>SUMIF(Audit[[#This Row],[Difference Winner]:[Difference Candidate 12]], "&gt;0")</f>
        <v>0</v>
      </c>
      <c r="AR94" s="114">
        <f>SUM(Audit[[#This Row],[Difference Winner]:[Difference Candidate 12]])</f>
        <v>0</v>
      </c>
      <c r="AS94" s="114">
        <f>IF(Audit[[#This Row],[Times p Drawn - With Replacement]]&gt;0, IF(Audit[[#This Row],[Canceled Differences]]&lt;0, Audit[[#This Row],[Max Differences]]+ABS(Audit[[#This Row],[Canceled Differences]]), Audit[[#This Row],[Max Differences]]), 0)</f>
        <v>0</v>
      </c>
      <c r="AT94" s="114">
        <f>'Sampling Data'!AB94</f>
        <v>4.4244990834966185E-4</v>
      </c>
      <c r="AU94" s="114">
        <f>IF(
      SUM(Audit[[#This Row],[Audit Losing Candidate]:[Audit Candidate 12]])
      &lt;&gt;0,
      (Audit[[#This Row],[Winning Candidate]]-Audit[[#This Row],[Losing Candidate]]-(Audit[[#This Row],[Audit Winning Candidate]]-Audit[[#This Row],[Audit Losing Candidate]]))/(Audit[[#Totals],[Winning Candidate]]-Audit[[#Totals],[Losing Candidate]]),
      0
)</f>
        <v>0</v>
      </c>
      <c r="AV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4" s="114">
        <f>IF(Audit[[#This Row],[Max Relative Error (ep)]] = 0, 0, Audit[[#This Row],[Max Relative Error (ep)]]/Audit[[#This Row],[Error Bound (up) - Max. possible relative overstatement]])</f>
        <v>0</v>
      </c>
      <c r="BH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4" s="114">
        <f t="shared" si="2"/>
        <v>1</v>
      </c>
      <c r="BJ94" s="114">
        <f>PRODUCT($BI$5:BI94)</f>
        <v>0.20973752198051165</v>
      </c>
      <c r="BK94" s="112">
        <f>1 - Audit[[#This Row],[K-M P Value]]</f>
        <v>0.79026247801948835</v>
      </c>
      <c r="BL94" s="114" t="str">
        <f>IF(Audit[[#This Row],[K-M P Value]]&gt;1-'General Info'!$B$12,"Continue", "Stop")</f>
        <v>Continue</v>
      </c>
      <c r="BM94" s="113" t="b">
        <f>IF(Audit[[#This Row],[Status - Continue or stop audit]] = "Continue", TRUE, IF(BL93 = "Continue", TRUE, FALSE))</f>
        <v>1</v>
      </c>
      <c r="BN94" s="113"/>
    </row>
    <row r="95" spans="1:66" ht="15" hidden="1" customHeight="1" x14ac:dyDescent="0.35">
      <c r="A95" s="114" t="str">
        <f>'Sampling Data'!AI95</f>
        <v/>
      </c>
      <c r="B95" s="114" t="str">
        <f>'Sampling Data'!A95</f>
        <v>1401 CIN 14-A   (AV)</v>
      </c>
      <c r="C95" s="114">
        <f>'Sampling Data'!B95</f>
        <v>43</v>
      </c>
      <c r="D95" s="114">
        <f>'Sampling Data'!C95</f>
        <v>6</v>
      </c>
      <c r="E95" s="115">
        <f>'Sampling Data'!D95</f>
        <v>4</v>
      </c>
      <c r="F95" s="115">
        <f>'Sampling Data'!E95</f>
        <v>0</v>
      </c>
      <c r="G95" s="115">
        <f>'Sampling Data'!F95</f>
        <v>0</v>
      </c>
      <c r="H95" s="115">
        <f>'Sampling Data'!G95</f>
        <v>0</v>
      </c>
      <c r="I95" s="115">
        <f>'Sampling Data'!H95</f>
        <v>0</v>
      </c>
      <c r="J95" s="115">
        <f>'Sampling Data'!I95</f>
        <v>0</v>
      </c>
      <c r="K95" s="115">
        <f>'Sampling Data'!J95</f>
        <v>0</v>
      </c>
      <c r="L95" s="115">
        <f>'Sampling Data'!K95</f>
        <v>0</v>
      </c>
      <c r="M95" s="115">
        <f>'Sampling Data'!L95</f>
        <v>0</v>
      </c>
      <c r="N95" s="115">
        <f>'Sampling Data'!M95</f>
        <v>0</v>
      </c>
      <c r="O95" s="114">
        <f>'Sampling Data'!N95</f>
        <v>0</v>
      </c>
      <c r="P95" s="114">
        <f>'Sampling Data'!O95</f>
        <v>1</v>
      </c>
      <c r="Q95" s="114">
        <f>'Sampling Data'!P95</f>
        <v>54</v>
      </c>
      <c r="R95" s="114">
        <f>'Sampling Data'!AJ95</f>
        <v>0</v>
      </c>
      <c r="S95" s="116"/>
      <c r="T95" s="116"/>
      <c r="U95" s="117"/>
      <c r="V95" s="117"/>
      <c r="W95" s="116"/>
      <c r="X95" s="116"/>
      <c r="Y95" s="116"/>
      <c r="Z95" s="116"/>
      <c r="AA95" s="15"/>
      <c r="AB95" s="15"/>
      <c r="AC95" s="15"/>
      <c r="AD95" s="15"/>
      <c r="AE95" s="118" t="str">
        <f>IF(NOT(ISBLANK(Audit[[#This Row],[Audit Winning Candidate]])), Audit[[#This Row],[Audit Winning Candidate]]-Audit[[#This Row],[Winning Candidate]], "")</f>
        <v/>
      </c>
      <c r="AF95" s="114" t="str">
        <f>IF(NOT(ISBLANK(Audit[[#This Row],[Audit Losing Candidate]])), Audit[[#This Row],[Audit Losing Candidate]]-Audit[[#This Row],[Losing Candidate]], "")</f>
        <v/>
      </c>
      <c r="AG95" s="114" t="str">
        <f>IF(NOT(ISBLANK(Audit[[#This Row],[Audit Candidate 3]])), Audit[[#This Row],[Audit Candidate 3]]-Audit[[#This Row],[Candidate 3]], "")</f>
        <v/>
      </c>
      <c r="AH95" s="114" t="str">
        <f>IF(NOT(ISBLANK(Audit[[#This Row],[Audit Candidate 4]])),Audit[[#This Row],[Audit Candidate 4]]-Audit[[#This Row],[Candidate 4]], "")</f>
        <v/>
      </c>
      <c r="AI95" s="114" t="str">
        <f>IF(NOT(ISBLANK(Audit[[#This Row],[Audit Candidate 5]])), Audit[[#This Row],[Audit Candidate 5]]-Audit[[#This Row],[Candidate 5]], "")</f>
        <v/>
      </c>
      <c r="AJ95" s="114" t="str">
        <f>IF(NOT(ISBLANK(Audit[[#This Row],[Audit Candidate 6]])), Audit[[#This Row],[Audit Candidate 6]]-Audit[[#This Row],[Candidate 6]], "")</f>
        <v/>
      </c>
      <c r="AK95" s="114" t="str">
        <f>IF(NOT(ISBLANK(Audit[[#This Row],[Audit Candidate 7]])), Audit[[#This Row],[Audit Candidate 7]]-Audit[[#This Row],[Candidate 7]], "")</f>
        <v/>
      </c>
      <c r="AL95" s="114" t="str">
        <f>IF(NOT(ISBLANK(Audit[[#This Row],[Audit Candidate 8]])), Audit[[#This Row],[Audit Candidate 8]]-Audit[[#This Row],[Candidate 8]], "")</f>
        <v/>
      </c>
      <c r="AM95" s="114" t="str">
        <f>IF(NOT(ISBLANK(Audit[[#This Row],[Audit Candidate 9]])), Audit[[#This Row],[Audit Candidate 9]]-Audit[[#This Row],[Candidate 9]], "")</f>
        <v/>
      </c>
      <c r="AN95" s="114" t="str">
        <f>IF(NOT(ISBLANK(Audit[[#This Row],[Audit Candidate 10]])), Audit[[#This Row],[Audit Candidate 10]]-Audit[[#This Row],[Candidate 10]], "")</f>
        <v/>
      </c>
      <c r="AO95" s="114" t="str">
        <f>IF(NOT(ISBLANK(Audit[[#This Row],[Audit Candidate 11]])), Audit[[#This Row],[Audit Candidate 11]]-Audit[[#This Row],[Candidate 11]], "")</f>
        <v/>
      </c>
      <c r="AP95" s="114" t="str">
        <f>IF(NOT(ISBLANK(Audit[[#This Row],[Audit Candidate 12]])), Audit[[#This Row],[Audit Candidate 12]]-Audit[[#This Row],[Candidate 12]], "")</f>
        <v/>
      </c>
      <c r="AQ95" s="114">
        <f>SUMIF(Audit[[#This Row],[Difference Winner]:[Difference Candidate 12]], "&gt;0")</f>
        <v>0</v>
      </c>
      <c r="AR95" s="114">
        <f>SUM(Audit[[#This Row],[Difference Winner]:[Difference Candidate 12]])</f>
        <v>0</v>
      </c>
      <c r="AS95" s="114">
        <f>IF(Audit[[#This Row],[Times p Drawn - With Replacement]]&gt;0, IF(Audit[[#This Row],[Canceled Differences]]&lt;0, Audit[[#This Row],[Max Differences]]+ABS(Audit[[#This Row],[Canceled Differences]]), Audit[[#This Row],[Max Differences]]), 0)</f>
        <v>0</v>
      </c>
      <c r="AT95" s="114">
        <f>'Sampling Data'!AB95</f>
        <v>5.7518488085456041E-3</v>
      </c>
      <c r="AU95" s="114">
        <f>IF(
      SUM(Audit[[#This Row],[Audit Losing Candidate]:[Audit Candidate 12]])
      &lt;&gt;0,
      (Audit[[#This Row],[Winning Candidate]]-Audit[[#This Row],[Losing Candidate]]-(Audit[[#This Row],[Audit Winning Candidate]]-Audit[[#This Row],[Audit Losing Candidate]]))/(Audit[[#Totals],[Winning Candidate]]-Audit[[#Totals],[Losing Candidate]]),
      0
)</f>
        <v>0</v>
      </c>
      <c r="AV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5" s="114">
        <f>IF(Audit[[#This Row],[Max Relative Error (ep)]] = 0, 0, Audit[[#This Row],[Max Relative Error (ep)]]/Audit[[#This Row],[Error Bound (up) - Max. possible relative overstatement]])</f>
        <v>0</v>
      </c>
      <c r="BH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5" s="114">
        <f t="shared" si="2"/>
        <v>1</v>
      </c>
      <c r="BJ95" s="114">
        <f>PRODUCT($BI$5:BI95)</f>
        <v>0.20973752198051165</v>
      </c>
      <c r="BK95" s="112">
        <f>1 - Audit[[#This Row],[K-M P Value]]</f>
        <v>0.79026247801948835</v>
      </c>
      <c r="BL95" s="114" t="str">
        <f>IF(Audit[[#This Row],[K-M P Value]]&gt;1-'General Info'!$B$12,"Continue", "Stop")</f>
        <v>Continue</v>
      </c>
      <c r="BM95" s="113" t="b">
        <f>IF(Audit[[#This Row],[Status - Continue or stop audit]] = "Continue", TRUE, IF(BL94 = "Continue", TRUE, FALSE))</f>
        <v>1</v>
      </c>
      <c r="BN95" s="113"/>
    </row>
    <row r="96" spans="1:66" ht="15" hidden="1" customHeight="1" x14ac:dyDescent="0.35">
      <c r="A96" s="114" t="str">
        <f>'Sampling Data'!AI96</f>
        <v/>
      </c>
      <c r="B96" s="114" t="str">
        <f>'Sampling Data'!A96</f>
        <v>1402 CIN 14-B   (AV)</v>
      </c>
      <c r="C96" s="114">
        <f>'Sampling Data'!B96</f>
        <v>17</v>
      </c>
      <c r="D96" s="114">
        <f>'Sampling Data'!C96</f>
        <v>0</v>
      </c>
      <c r="E96" s="115">
        <f>'Sampling Data'!D96</f>
        <v>0</v>
      </c>
      <c r="F96" s="115">
        <f>'Sampling Data'!E96</f>
        <v>0</v>
      </c>
      <c r="G96" s="115">
        <f>'Sampling Data'!F96</f>
        <v>0</v>
      </c>
      <c r="H96" s="115">
        <f>'Sampling Data'!G96</f>
        <v>0</v>
      </c>
      <c r="I96" s="115">
        <f>'Sampling Data'!H96</f>
        <v>0</v>
      </c>
      <c r="J96" s="115">
        <f>'Sampling Data'!I96</f>
        <v>0</v>
      </c>
      <c r="K96" s="115">
        <f>'Sampling Data'!J96</f>
        <v>0</v>
      </c>
      <c r="L96" s="115">
        <f>'Sampling Data'!K96</f>
        <v>0</v>
      </c>
      <c r="M96" s="115">
        <f>'Sampling Data'!L96</f>
        <v>0</v>
      </c>
      <c r="N96" s="115">
        <f>'Sampling Data'!M96</f>
        <v>0</v>
      </c>
      <c r="O96" s="114">
        <f>'Sampling Data'!N96</f>
        <v>0</v>
      </c>
      <c r="P96" s="114">
        <f>'Sampling Data'!O96</f>
        <v>0</v>
      </c>
      <c r="Q96" s="114">
        <f>'Sampling Data'!P96</f>
        <v>17</v>
      </c>
      <c r="R96" s="114">
        <f>'Sampling Data'!AJ96</f>
        <v>0</v>
      </c>
      <c r="S96" s="116"/>
      <c r="T96" s="116"/>
      <c r="U96" s="117"/>
      <c r="V96" s="117"/>
      <c r="W96" s="116"/>
      <c r="X96" s="116"/>
      <c r="Y96" s="116"/>
      <c r="Z96" s="116"/>
      <c r="AA96" s="15"/>
      <c r="AB96" s="15"/>
      <c r="AC96" s="15"/>
      <c r="AD96" s="15"/>
      <c r="AE96" s="118" t="str">
        <f>IF(NOT(ISBLANK(Audit[[#This Row],[Audit Winning Candidate]])), Audit[[#This Row],[Audit Winning Candidate]]-Audit[[#This Row],[Winning Candidate]], "")</f>
        <v/>
      </c>
      <c r="AF96" s="114" t="str">
        <f>IF(NOT(ISBLANK(Audit[[#This Row],[Audit Losing Candidate]])), Audit[[#This Row],[Audit Losing Candidate]]-Audit[[#This Row],[Losing Candidate]], "")</f>
        <v/>
      </c>
      <c r="AG96" s="114" t="str">
        <f>IF(NOT(ISBLANK(Audit[[#This Row],[Audit Candidate 3]])), Audit[[#This Row],[Audit Candidate 3]]-Audit[[#This Row],[Candidate 3]], "")</f>
        <v/>
      </c>
      <c r="AH96" s="114" t="str">
        <f>IF(NOT(ISBLANK(Audit[[#This Row],[Audit Candidate 4]])),Audit[[#This Row],[Audit Candidate 4]]-Audit[[#This Row],[Candidate 4]], "")</f>
        <v/>
      </c>
      <c r="AI96" s="114" t="str">
        <f>IF(NOT(ISBLANK(Audit[[#This Row],[Audit Candidate 5]])), Audit[[#This Row],[Audit Candidate 5]]-Audit[[#This Row],[Candidate 5]], "")</f>
        <v/>
      </c>
      <c r="AJ96" s="114" t="str">
        <f>IF(NOT(ISBLANK(Audit[[#This Row],[Audit Candidate 6]])), Audit[[#This Row],[Audit Candidate 6]]-Audit[[#This Row],[Candidate 6]], "")</f>
        <v/>
      </c>
      <c r="AK96" s="114" t="str">
        <f>IF(NOT(ISBLANK(Audit[[#This Row],[Audit Candidate 7]])), Audit[[#This Row],[Audit Candidate 7]]-Audit[[#This Row],[Candidate 7]], "")</f>
        <v/>
      </c>
      <c r="AL96" s="114" t="str">
        <f>IF(NOT(ISBLANK(Audit[[#This Row],[Audit Candidate 8]])), Audit[[#This Row],[Audit Candidate 8]]-Audit[[#This Row],[Candidate 8]], "")</f>
        <v/>
      </c>
      <c r="AM96" s="114" t="str">
        <f>IF(NOT(ISBLANK(Audit[[#This Row],[Audit Candidate 9]])), Audit[[#This Row],[Audit Candidate 9]]-Audit[[#This Row],[Candidate 9]], "")</f>
        <v/>
      </c>
      <c r="AN96" s="114" t="str">
        <f>IF(NOT(ISBLANK(Audit[[#This Row],[Audit Candidate 10]])), Audit[[#This Row],[Audit Candidate 10]]-Audit[[#This Row],[Candidate 10]], "")</f>
        <v/>
      </c>
      <c r="AO96" s="114" t="str">
        <f>IF(NOT(ISBLANK(Audit[[#This Row],[Audit Candidate 11]])), Audit[[#This Row],[Audit Candidate 11]]-Audit[[#This Row],[Candidate 11]], "")</f>
        <v/>
      </c>
      <c r="AP96" s="114" t="str">
        <f>IF(NOT(ISBLANK(Audit[[#This Row],[Audit Candidate 12]])), Audit[[#This Row],[Audit Candidate 12]]-Audit[[#This Row],[Candidate 12]], "")</f>
        <v/>
      </c>
      <c r="AQ96" s="114">
        <f>SUMIF(Audit[[#This Row],[Difference Winner]:[Difference Candidate 12]], "&gt;0")</f>
        <v>0</v>
      </c>
      <c r="AR96" s="114">
        <f>SUM(Audit[[#This Row],[Difference Winner]:[Difference Candidate 12]])</f>
        <v>0</v>
      </c>
      <c r="AS96" s="114">
        <f>IF(Audit[[#This Row],[Times p Drawn - With Replacement]]&gt;0, IF(Audit[[#This Row],[Canceled Differences]]&lt;0, Audit[[#This Row],[Max Differences]]+ABS(Audit[[#This Row],[Canceled Differences]]), Audit[[#This Row],[Max Differences]]), 0)</f>
        <v>0</v>
      </c>
      <c r="AT96" s="114">
        <f>'Sampling Data'!AB96</f>
        <v>2.1490424119840717E-3</v>
      </c>
      <c r="AU96" s="114">
        <f>IF(
      SUM(Audit[[#This Row],[Audit Losing Candidate]:[Audit Candidate 12]])
      &lt;&gt;0,
      (Audit[[#This Row],[Winning Candidate]]-Audit[[#This Row],[Losing Candidate]]-(Audit[[#This Row],[Audit Winning Candidate]]-Audit[[#This Row],[Audit Losing Candidate]]))/(Audit[[#Totals],[Winning Candidate]]-Audit[[#Totals],[Losing Candidate]]),
      0
)</f>
        <v>0</v>
      </c>
      <c r="AV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6" s="114">
        <f>IF(Audit[[#This Row],[Max Relative Error (ep)]] = 0, 0, Audit[[#This Row],[Max Relative Error (ep)]]/Audit[[#This Row],[Error Bound (up) - Max. possible relative overstatement]])</f>
        <v>0</v>
      </c>
      <c r="BH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6" s="114">
        <f t="shared" si="2"/>
        <v>1</v>
      </c>
      <c r="BJ96" s="114">
        <f>PRODUCT($BI$5:BI96)</f>
        <v>0.20973752198051165</v>
      </c>
      <c r="BK96" s="112">
        <f>1 - Audit[[#This Row],[K-M P Value]]</f>
        <v>0.79026247801948835</v>
      </c>
      <c r="BL96" s="114" t="str">
        <f>IF(Audit[[#This Row],[K-M P Value]]&gt;1-'General Info'!$B$12,"Continue", "Stop")</f>
        <v>Continue</v>
      </c>
      <c r="BM96" s="113" t="b">
        <f>IF(Audit[[#This Row],[Status - Continue or stop audit]] = "Continue", TRUE, IF(BL95 = "Continue", TRUE, FALSE))</f>
        <v>1</v>
      </c>
      <c r="BN96" s="113"/>
    </row>
    <row r="97" spans="1:66" ht="15" hidden="1" customHeight="1" x14ac:dyDescent="0.35">
      <c r="A97" s="114" t="str">
        <f>'Sampling Data'!AI97</f>
        <v/>
      </c>
      <c r="B97" s="114" t="str">
        <f>'Sampling Data'!A97</f>
        <v>1403 CIN 14-C   (AV)</v>
      </c>
      <c r="C97" s="114">
        <f>'Sampling Data'!B97</f>
        <v>10</v>
      </c>
      <c r="D97" s="114">
        <f>'Sampling Data'!C97</f>
        <v>2</v>
      </c>
      <c r="E97" s="115">
        <f>'Sampling Data'!D97</f>
        <v>1</v>
      </c>
      <c r="F97" s="115">
        <f>'Sampling Data'!E97</f>
        <v>0</v>
      </c>
      <c r="G97" s="115">
        <f>'Sampling Data'!F97</f>
        <v>0</v>
      </c>
      <c r="H97" s="115">
        <f>'Sampling Data'!G97</f>
        <v>0</v>
      </c>
      <c r="I97" s="115">
        <f>'Sampling Data'!H97</f>
        <v>0</v>
      </c>
      <c r="J97" s="115">
        <f>'Sampling Data'!I97</f>
        <v>0</v>
      </c>
      <c r="K97" s="115">
        <f>'Sampling Data'!J97</f>
        <v>0</v>
      </c>
      <c r="L97" s="115">
        <f>'Sampling Data'!K97</f>
        <v>0</v>
      </c>
      <c r="M97" s="115">
        <f>'Sampling Data'!L97</f>
        <v>0</v>
      </c>
      <c r="N97" s="115">
        <f>'Sampling Data'!M97</f>
        <v>0</v>
      </c>
      <c r="O97" s="114">
        <f>'Sampling Data'!N97</f>
        <v>0</v>
      </c>
      <c r="P97" s="114">
        <f>'Sampling Data'!O97</f>
        <v>0</v>
      </c>
      <c r="Q97" s="114">
        <f>'Sampling Data'!P97</f>
        <v>13</v>
      </c>
      <c r="R97" s="114">
        <f>'Sampling Data'!AJ97</f>
        <v>0</v>
      </c>
      <c r="S97" s="116"/>
      <c r="T97" s="116"/>
      <c r="U97" s="117"/>
      <c r="V97" s="117"/>
      <c r="W97" s="116"/>
      <c r="X97" s="116"/>
      <c r="Y97" s="116"/>
      <c r="Z97" s="116"/>
      <c r="AA97" s="15"/>
      <c r="AB97" s="15"/>
      <c r="AC97" s="15"/>
      <c r="AD97" s="15"/>
      <c r="AE97" s="118" t="str">
        <f>IF(NOT(ISBLANK(Audit[[#This Row],[Audit Winning Candidate]])), Audit[[#This Row],[Audit Winning Candidate]]-Audit[[#This Row],[Winning Candidate]], "")</f>
        <v/>
      </c>
      <c r="AF97" s="114" t="str">
        <f>IF(NOT(ISBLANK(Audit[[#This Row],[Audit Losing Candidate]])), Audit[[#This Row],[Audit Losing Candidate]]-Audit[[#This Row],[Losing Candidate]], "")</f>
        <v/>
      </c>
      <c r="AG97" s="114" t="str">
        <f>IF(NOT(ISBLANK(Audit[[#This Row],[Audit Candidate 3]])), Audit[[#This Row],[Audit Candidate 3]]-Audit[[#This Row],[Candidate 3]], "")</f>
        <v/>
      </c>
      <c r="AH97" s="114" t="str">
        <f>IF(NOT(ISBLANK(Audit[[#This Row],[Audit Candidate 4]])),Audit[[#This Row],[Audit Candidate 4]]-Audit[[#This Row],[Candidate 4]], "")</f>
        <v/>
      </c>
      <c r="AI97" s="114" t="str">
        <f>IF(NOT(ISBLANK(Audit[[#This Row],[Audit Candidate 5]])), Audit[[#This Row],[Audit Candidate 5]]-Audit[[#This Row],[Candidate 5]], "")</f>
        <v/>
      </c>
      <c r="AJ97" s="114" t="str">
        <f>IF(NOT(ISBLANK(Audit[[#This Row],[Audit Candidate 6]])), Audit[[#This Row],[Audit Candidate 6]]-Audit[[#This Row],[Candidate 6]], "")</f>
        <v/>
      </c>
      <c r="AK97" s="114" t="str">
        <f>IF(NOT(ISBLANK(Audit[[#This Row],[Audit Candidate 7]])), Audit[[#This Row],[Audit Candidate 7]]-Audit[[#This Row],[Candidate 7]], "")</f>
        <v/>
      </c>
      <c r="AL97" s="114" t="str">
        <f>IF(NOT(ISBLANK(Audit[[#This Row],[Audit Candidate 8]])), Audit[[#This Row],[Audit Candidate 8]]-Audit[[#This Row],[Candidate 8]], "")</f>
        <v/>
      </c>
      <c r="AM97" s="114" t="str">
        <f>IF(NOT(ISBLANK(Audit[[#This Row],[Audit Candidate 9]])), Audit[[#This Row],[Audit Candidate 9]]-Audit[[#This Row],[Candidate 9]], "")</f>
        <v/>
      </c>
      <c r="AN97" s="114" t="str">
        <f>IF(NOT(ISBLANK(Audit[[#This Row],[Audit Candidate 10]])), Audit[[#This Row],[Audit Candidate 10]]-Audit[[#This Row],[Candidate 10]], "")</f>
        <v/>
      </c>
      <c r="AO97" s="114" t="str">
        <f>IF(NOT(ISBLANK(Audit[[#This Row],[Audit Candidate 11]])), Audit[[#This Row],[Audit Candidate 11]]-Audit[[#This Row],[Candidate 11]], "")</f>
        <v/>
      </c>
      <c r="AP97" s="114" t="str">
        <f>IF(NOT(ISBLANK(Audit[[#This Row],[Audit Candidate 12]])), Audit[[#This Row],[Audit Candidate 12]]-Audit[[#This Row],[Candidate 12]], "")</f>
        <v/>
      </c>
      <c r="AQ97" s="114">
        <f>SUMIF(Audit[[#This Row],[Difference Winner]:[Difference Candidate 12]], "&gt;0")</f>
        <v>0</v>
      </c>
      <c r="AR97" s="114">
        <f>SUM(Audit[[#This Row],[Difference Winner]:[Difference Candidate 12]])</f>
        <v>0</v>
      </c>
      <c r="AS97" s="114">
        <f>IF(Audit[[#This Row],[Times p Drawn - With Replacement]]&gt;0, IF(Audit[[#This Row],[Canceled Differences]]&lt;0, Audit[[#This Row],[Max Differences]]+ABS(Audit[[#This Row],[Canceled Differences]]), Audit[[#This Row],[Max Differences]]), 0)</f>
        <v>0</v>
      </c>
      <c r="AT97" s="114">
        <f>'Sampling Data'!AB97</f>
        <v>1.3273497250489855E-3</v>
      </c>
      <c r="AU97" s="114">
        <f>IF(
      SUM(Audit[[#This Row],[Audit Losing Candidate]:[Audit Candidate 12]])
      &lt;&gt;0,
      (Audit[[#This Row],[Winning Candidate]]-Audit[[#This Row],[Losing Candidate]]-(Audit[[#This Row],[Audit Winning Candidate]]-Audit[[#This Row],[Audit Losing Candidate]]))/(Audit[[#Totals],[Winning Candidate]]-Audit[[#Totals],[Losing Candidate]]),
      0
)</f>
        <v>0</v>
      </c>
      <c r="AV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7" s="114">
        <f>IF(Audit[[#This Row],[Max Relative Error (ep)]] = 0, 0, Audit[[#This Row],[Max Relative Error (ep)]]/Audit[[#This Row],[Error Bound (up) - Max. possible relative overstatement]])</f>
        <v>0</v>
      </c>
      <c r="BH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7" s="114">
        <f t="shared" si="2"/>
        <v>1</v>
      </c>
      <c r="BJ97" s="114">
        <f>PRODUCT($BI$5:BI97)</f>
        <v>0.20973752198051165</v>
      </c>
      <c r="BK97" s="112">
        <f>1 - Audit[[#This Row],[K-M P Value]]</f>
        <v>0.79026247801948835</v>
      </c>
      <c r="BL97" s="114" t="str">
        <f>IF(Audit[[#This Row],[K-M P Value]]&gt;1-'General Info'!$B$12,"Continue", "Stop")</f>
        <v>Continue</v>
      </c>
      <c r="BM97" s="113" t="b">
        <f>IF(Audit[[#This Row],[Status - Continue or stop audit]] = "Continue", TRUE, IF(BL96 = "Continue", TRUE, FALSE))</f>
        <v>1</v>
      </c>
      <c r="BN97" s="113"/>
    </row>
    <row r="98" spans="1:66" ht="15" hidden="1" customHeight="1" x14ac:dyDescent="0.35">
      <c r="A98" s="114" t="str">
        <f>'Sampling Data'!AI98</f>
        <v/>
      </c>
      <c r="B98" s="114" t="str">
        <f>'Sampling Data'!A98</f>
        <v>1404 CIN 14-D   (AV)</v>
      </c>
      <c r="C98" s="114">
        <f>'Sampling Data'!B98</f>
        <v>47</v>
      </c>
      <c r="D98" s="114">
        <f>'Sampling Data'!C98</f>
        <v>0</v>
      </c>
      <c r="E98" s="115">
        <f>'Sampling Data'!D98</f>
        <v>1</v>
      </c>
      <c r="F98" s="115">
        <f>'Sampling Data'!E98</f>
        <v>0</v>
      </c>
      <c r="G98" s="115">
        <f>'Sampling Data'!F98</f>
        <v>0</v>
      </c>
      <c r="H98" s="115">
        <f>'Sampling Data'!G98</f>
        <v>0</v>
      </c>
      <c r="I98" s="115">
        <f>'Sampling Data'!H98</f>
        <v>0</v>
      </c>
      <c r="J98" s="115">
        <f>'Sampling Data'!I98</f>
        <v>0</v>
      </c>
      <c r="K98" s="115">
        <f>'Sampling Data'!J98</f>
        <v>0</v>
      </c>
      <c r="L98" s="115">
        <f>'Sampling Data'!K98</f>
        <v>0</v>
      </c>
      <c r="M98" s="115">
        <f>'Sampling Data'!L98</f>
        <v>0</v>
      </c>
      <c r="N98" s="115">
        <f>'Sampling Data'!M98</f>
        <v>0</v>
      </c>
      <c r="O98" s="114">
        <f>'Sampling Data'!N98</f>
        <v>0</v>
      </c>
      <c r="P98" s="114">
        <f>'Sampling Data'!O98</f>
        <v>2</v>
      </c>
      <c r="Q98" s="114">
        <f>'Sampling Data'!P98</f>
        <v>50</v>
      </c>
      <c r="R98" s="114">
        <f>'Sampling Data'!AJ98</f>
        <v>0</v>
      </c>
      <c r="S98" s="116"/>
      <c r="T98" s="116"/>
      <c r="U98" s="117"/>
      <c r="V98" s="117"/>
      <c r="W98" s="116"/>
      <c r="X98" s="116"/>
      <c r="Y98" s="116"/>
      <c r="Z98" s="116"/>
      <c r="AA98" s="15"/>
      <c r="AB98" s="15"/>
      <c r="AC98" s="15"/>
      <c r="AD98" s="15"/>
      <c r="AE98" s="118" t="str">
        <f>IF(NOT(ISBLANK(Audit[[#This Row],[Audit Winning Candidate]])), Audit[[#This Row],[Audit Winning Candidate]]-Audit[[#This Row],[Winning Candidate]], "")</f>
        <v/>
      </c>
      <c r="AF98" s="114" t="str">
        <f>IF(NOT(ISBLANK(Audit[[#This Row],[Audit Losing Candidate]])), Audit[[#This Row],[Audit Losing Candidate]]-Audit[[#This Row],[Losing Candidate]], "")</f>
        <v/>
      </c>
      <c r="AG98" s="114" t="str">
        <f>IF(NOT(ISBLANK(Audit[[#This Row],[Audit Candidate 3]])), Audit[[#This Row],[Audit Candidate 3]]-Audit[[#This Row],[Candidate 3]], "")</f>
        <v/>
      </c>
      <c r="AH98" s="114" t="str">
        <f>IF(NOT(ISBLANK(Audit[[#This Row],[Audit Candidate 4]])),Audit[[#This Row],[Audit Candidate 4]]-Audit[[#This Row],[Candidate 4]], "")</f>
        <v/>
      </c>
      <c r="AI98" s="114" t="str">
        <f>IF(NOT(ISBLANK(Audit[[#This Row],[Audit Candidate 5]])), Audit[[#This Row],[Audit Candidate 5]]-Audit[[#This Row],[Candidate 5]], "")</f>
        <v/>
      </c>
      <c r="AJ98" s="114" t="str">
        <f>IF(NOT(ISBLANK(Audit[[#This Row],[Audit Candidate 6]])), Audit[[#This Row],[Audit Candidate 6]]-Audit[[#This Row],[Candidate 6]], "")</f>
        <v/>
      </c>
      <c r="AK98" s="114" t="str">
        <f>IF(NOT(ISBLANK(Audit[[#This Row],[Audit Candidate 7]])), Audit[[#This Row],[Audit Candidate 7]]-Audit[[#This Row],[Candidate 7]], "")</f>
        <v/>
      </c>
      <c r="AL98" s="114" t="str">
        <f>IF(NOT(ISBLANK(Audit[[#This Row],[Audit Candidate 8]])), Audit[[#This Row],[Audit Candidate 8]]-Audit[[#This Row],[Candidate 8]], "")</f>
        <v/>
      </c>
      <c r="AM98" s="114" t="str">
        <f>IF(NOT(ISBLANK(Audit[[#This Row],[Audit Candidate 9]])), Audit[[#This Row],[Audit Candidate 9]]-Audit[[#This Row],[Candidate 9]], "")</f>
        <v/>
      </c>
      <c r="AN98" s="114" t="str">
        <f>IF(NOT(ISBLANK(Audit[[#This Row],[Audit Candidate 10]])), Audit[[#This Row],[Audit Candidate 10]]-Audit[[#This Row],[Candidate 10]], "")</f>
        <v/>
      </c>
      <c r="AO98" s="114" t="str">
        <f>IF(NOT(ISBLANK(Audit[[#This Row],[Audit Candidate 11]])), Audit[[#This Row],[Audit Candidate 11]]-Audit[[#This Row],[Candidate 11]], "")</f>
        <v/>
      </c>
      <c r="AP98" s="114" t="str">
        <f>IF(NOT(ISBLANK(Audit[[#This Row],[Audit Candidate 12]])), Audit[[#This Row],[Audit Candidate 12]]-Audit[[#This Row],[Candidate 12]], "")</f>
        <v/>
      </c>
      <c r="AQ98" s="114">
        <f>SUMIF(Audit[[#This Row],[Difference Winner]:[Difference Candidate 12]], "&gt;0")</f>
        <v>0</v>
      </c>
      <c r="AR98" s="114">
        <f>SUM(Audit[[#This Row],[Difference Winner]:[Difference Candidate 12]])</f>
        <v>0</v>
      </c>
      <c r="AS98" s="114">
        <f>IF(Audit[[#This Row],[Times p Drawn - With Replacement]]&gt;0, IF(Audit[[#This Row],[Canceled Differences]]&lt;0, Audit[[#This Row],[Max Differences]]+ABS(Audit[[#This Row],[Canceled Differences]]), Audit[[#This Row],[Max Differences]]), 0)</f>
        <v>0</v>
      </c>
      <c r="AT98" s="114">
        <f>'Sampling Data'!AB98</f>
        <v>6.1310915871310287E-3</v>
      </c>
      <c r="AU98" s="114">
        <f>IF(
      SUM(Audit[[#This Row],[Audit Losing Candidate]:[Audit Candidate 12]])
      &lt;&gt;0,
      (Audit[[#This Row],[Winning Candidate]]-Audit[[#This Row],[Losing Candidate]]-(Audit[[#This Row],[Audit Winning Candidate]]-Audit[[#This Row],[Audit Losing Candidate]]))/(Audit[[#Totals],[Winning Candidate]]-Audit[[#Totals],[Losing Candidate]]),
      0
)</f>
        <v>0</v>
      </c>
      <c r="AV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8" s="114">
        <f>IF(Audit[[#This Row],[Max Relative Error (ep)]] = 0, 0, Audit[[#This Row],[Max Relative Error (ep)]]/Audit[[#This Row],[Error Bound (up) - Max. possible relative overstatement]])</f>
        <v>0</v>
      </c>
      <c r="BH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8" s="114">
        <f t="shared" si="2"/>
        <v>1</v>
      </c>
      <c r="BJ98" s="114">
        <f>PRODUCT($BI$5:BI98)</f>
        <v>0.20973752198051165</v>
      </c>
      <c r="BK98" s="112">
        <f>1 - Audit[[#This Row],[K-M P Value]]</f>
        <v>0.79026247801948835</v>
      </c>
      <c r="BL98" s="114" t="str">
        <f>IF(Audit[[#This Row],[K-M P Value]]&gt;1-'General Info'!$B$12,"Continue", "Stop")</f>
        <v>Continue</v>
      </c>
      <c r="BM98" s="113" t="b">
        <f>IF(Audit[[#This Row],[Status - Continue or stop audit]] = "Continue", TRUE, IF(BL97 = "Continue", TRUE, FALSE))</f>
        <v>1</v>
      </c>
      <c r="BN98" s="113"/>
    </row>
    <row r="99" spans="1:66" ht="15" hidden="1" customHeight="1" x14ac:dyDescent="0.35">
      <c r="A99" s="114" t="str">
        <f>'Sampling Data'!AI99</f>
        <v/>
      </c>
      <c r="B99" s="114" t="str">
        <f>'Sampling Data'!A99</f>
        <v>1405 CIN 14-E   (AV)</v>
      </c>
      <c r="C99" s="114">
        <f>'Sampling Data'!B99</f>
        <v>48</v>
      </c>
      <c r="D99" s="114">
        <f>'Sampling Data'!C99</f>
        <v>4</v>
      </c>
      <c r="E99" s="115">
        <f>'Sampling Data'!D99</f>
        <v>2</v>
      </c>
      <c r="F99" s="115">
        <f>'Sampling Data'!E99</f>
        <v>0</v>
      </c>
      <c r="G99" s="115">
        <f>'Sampling Data'!F99</f>
        <v>0</v>
      </c>
      <c r="H99" s="115">
        <f>'Sampling Data'!G99</f>
        <v>0</v>
      </c>
      <c r="I99" s="115">
        <f>'Sampling Data'!H99</f>
        <v>0</v>
      </c>
      <c r="J99" s="115">
        <f>'Sampling Data'!I99</f>
        <v>0</v>
      </c>
      <c r="K99" s="115">
        <f>'Sampling Data'!J99</f>
        <v>0</v>
      </c>
      <c r="L99" s="115">
        <f>'Sampling Data'!K99</f>
        <v>0</v>
      </c>
      <c r="M99" s="115">
        <f>'Sampling Data'!L99</f>
        <v>0</v>
      </c>
      <c r="N99" s="115">
        <f>'Sampling Data'!M99</f>
        <v>0</v>
      </c>
      <c r="O99" s="114">
        <f>'Sampling Data'!N99</f>
        <v>0</v>
      </c>
      <c r="P99" s="114">
        <f>'Sampling Data'!O99</f>
        <v>0</v>
      </c>
      <c r="Q99" s="114">
        <f>'Sampling Data'!P99</f>
        <v>54</v>
      </c>
      <c r="R99" s="114">
        <f>'Sampling Data'!AJ99</f>
        <v>0</v>
      </c>
      <c r="S99" s="116"/>
      <c r="T99" s="116"/>
      <c r="U99" s="117"/>
      <c r="V99" s="117"/>
      <c r="W99" s="116"/>
      <c r="X99" s="116"/>
      <c r="Y99" s="116"/>
      <c r="Z99" s="116"/>
      <c r="AA99" s="15"/>
      <c r="AB99" s="15"/>
      <c r="AC99" s="15"/>
      <c r="AD99" s="15"/>
      <c r="AE99" s="118" t="str">
        <f>IF(NOT(ISBLANK(Audit[[#This Row],[Audit Winning Candidate]])), Audit[[#This Row],[Audit Winning Candidate]]-Audit[[#This Row],[Winning Candidate]], "")</f>
        <v/>
      </c>
      <c r="AF99" s="114" t="str">
        <f>IF(NOT(ISBLANK(Audit[[#This Row],[Audit Losing Candidate]])), Audit[[#This Row],[Audit Losing Candidate]]-Audit[[#This Row],[Losing Candidate]], "")</f>
        <v/>
      </c>
      <c r="AG99" s="114" t="str">
        <f>IF(NOT(ISBLANK(Audit[[#This Row],[Audit Candidate 3]])), Audit[[#This Row],[Audit Candidate 3]]-Audit[[#This Row],[Candidate 3]], "")</f>
        <v/>
      </c>
      <c r="AH99" s="114" t="str">
        <f>IF(NOT(ISBLANK(Audit[[#This Row],[Audit Candidate 4]])),Audit[[#This Row],[Audit Candidate 4]]-Audit[[#This Row],[Candidate 4]], "")</f>
        <v/>
      </c>
      <c r="AI99" s="114" t="str">
        <f>IF(NOT(ISBLANK(Audit[[#This Row],[Audit Candidate 5]])), Audit[[#This Row],[Audit Candidate 5]]-Audit[[#This Row],[Candidate 5]], "")</f>
        <v/>
      </c>
      <c r="AJ99" s="114" t="str">
        <f>IF(NOT(ISBLANK(Audit[[#This Row],[Audit Candidate 6]])), Audit[[#This Row],[Audit Candidate 6]]-Audit[[#This Row],[Candidate 6]], "")</f>
        <v/>
      </c>
      <c r="AK99" s="114" t="str">
        <f>IF(NOT(ISBLANK(Audit[[#This Row],[Audit Candidate 7]])), Audit[[#This Row],[Audit Candidate 7]]-Audit[[#This Row],[Candidate 7]], "")</f>
        <v/>
      </c>
      <c r="AL99" s="114" t="str">
        <f>IF(NOT(ISBLANK(Audit[[#This Row],[Audit Candidate 8]])), Audit[[#This Row],[Audit Candidate 8]]-Audit[[#This Row],[Candidate 8]], "")</f>
        <v/>
      </c>
      <c r="AM99" s="114" t="str">
        <f>IF(NOT(ISBLANK(Audit[[#This Row],[Audit Candidate 9]])), Audit[[#This Row],[Audit Candidate 9]]-Audit[[#This Row],[Candidate 9]], "")</f>
        <v/>
      </c>
      <c r="AN99" s="114" t="str">
        <f>IF(NOT(ISBLANK(Audit[[#This Row],[Audit Candidate 10]])), Audit[[#This Row],[Audit Candidate 10]]-Audit[[#This Row],[Candidate 10]], "")</f>
        <v/>
      </c>
      <c r="AO99" s="114" t="str">
        <f>IF(NOT(ISBLANK(Audit[[#This Row],[Audit Candidate 11]])), Audit[[#This Row],[Audit Candidate 11]]-Audit[[#This Row],[Candidate 11]], "")</f>
        <v/>
      </c>
      <c r="AP99" s="114" t="str">
        <f>IF(NOT(ISBLANK(Audit[[#This Row],[Audit Candidate 12]])), Audit[[#This Row],[Audit Candidate 12]]-Audit[[#This Row],[Candidate 12]], "")</f>
        <v/>
      </c>
      <c r="AQ99" s="114">
        <f>SUMIF(Audit[[#This Row],[Difference Winner]:[Difference Candidate 12]], "&gt;0")</f>
        <v>0</v>
      </c>
      <c r="AR99" s="114">
        <f>SUM(Audit[[#This Row],[Difference Winner]:[Difference Candidate 12]])</f>
        <v>0</v>
      </c>
      <c r="AS99" s="114">
        <f>IF(Audit[[#This Row],[Times p Drawn - With Replacement]]&gt;0, IF(Audit[[#This Row],[Canceled Differences]]&lt;0, Audit[[#This Row],[Max Differences]]+ABS(Audit[[#This Row],[Canceled Differences]]), Audit[[#This Row],[Max Differences]]), 0)</f>
        <v>0</v>
      </c>
      <c r="AT99" s="114">
        <f>'Sampling Data'!AB99</f>
        <v>6.1942987168952654E-3</v>
      </c>
      <c r="AU99" s="114">
        <f>IF(
      SUM(Audit[[#This Row],[Audit Losing Candidate]:[Audit Candidate 12]])
      &lt;&gt;0,
      (Audit[[#This Row],[Winning Candidate]]-Audit[[#This Row],[Losing Candidate]]-(Audit[[#This Row],[Audit Winning Candidate]]-Audit[[#This Row],[Audit Losing Candidate]]))/(Audit[[#Totals],[Winning Candidate]]-Audit[[#Totals],[Losing Candidate]]),
      0
)</f>
        <v>0</v>
      </c>
      <c r="AV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9" s="114">
        <f>IF(Audit[[#This Row],[Max Relative Error (ep)]] = 0, 0, Audit[[#This Row],[Max Relative Error (ep)]]/Audit[[#This Row],[Error Bound (up) - Max. possible relative overstatement]])</f>
        <v>0</v>
      </c>
      <c r="BH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99" s="114">
        <f t="shared" si="2"/>
        <v>1</v>
      </c>
      <c r="BJ99" s="114">
        <f>PRODUCT($BI$5:BI99)</f>
        <v>0.20973752198051165</v>
      </c>
      <c r="BK99" s="112">
        <f>1 - Audit[[#This Row],[K-M P Value]]</f>
        <v>0.79026247801948835</v>
      </c>
      <c r="BL99" s="114" t="str">
        <f>IF(Audit[[#This Row],[K-M P Value]]&gt;1-'General Info'!$B$12,"Continue", "Stop")</f>
        <v>Continue</v>
      </c>
      <c r="BM99" s="113" t="b">
        <f>IF(Audit[[#This Row],[Status - Continue or stop audit]] = "Continue", TRUE, IF(BL98 = "Continue", TRUE, FALSE))</f>
        <v>1</v>
      </c>
      <c r="BN99" s="113"/>
    </row>
    <row r="100" spans="1:66" ht="15" hidden="1" customHeight="1" x14ac:dyDescent="0.35">
      <c r="A100" s="114" t="str">
        <f>'Sampling Data'!AI100</f>
        <v/>
      </c>
      <c r="B100" s="114" t="str">
        <f>'Sampling Data'!A100</f>
        <v>1406 CIN 14-F   (AV)</v>
      </c>
      <c r="C100" s="114">
        <f>'Sampling Data'!B100</f>
        <v>34</v>
      </c>
      <c r="D100" s="114">
        <f>'Sampling Data'!C100</f>
        <v>0</v>
      </c>
      <c r="E100" s="115">
        <f>'Sampling Data'!D100</f>
        <v>2</v>
      </c>
      <c r="F100" s="115">
        <f>'Sampling Data'!E100</f>
        <v>0</v>
      </c>
      <c r="G100" s="115">
        <f>'Sampling Data'!F100</f>
        <v>0</v>
      </c>
      <c r="H100" s="115">
        <f>'Sampling Data'!G100</f>
        <v>0</v>
      </c>
      <c r="I100" s="115">
        <f>'Sampling Data'!H100</f>
        <v>0</v>
      </c>
      <c r="J100" s="115">
        <f>'Sampling Data'!I100</f>
        <v>0</v>
      </c>
      <c r="K100" s="115">
        <f>'Sampling Data'!J100</f>
        <v>0</v>
      </c>
      <c r="L100" s="115">
        <f>'Sampling Data'!K100</f>
        <v>0</v>
      </c>
      <c r="M100" s="115">
        <f>'Sampling Data'!L100</f>
        <v>0</v>
      </c>
      <c r="N100" s="115">
        <f>'Sampling Data'!M100</f>
        <v>0</v>
      </c>
      <c r="O100" s="114">
        <f>'Sampling Data'!N100</f>
        <v>0</v>
      </c>
      <c r="P100" s="114">
        <f>'Sampling Data'!O100</f>
        <v>2</v>
      </c>
      <c r="Q100" s="114">
        <f>'Sampling Data'!P100</f>
        <v>38</v>
      </c>
      <c r="R100" s="114">
        <f>'Sampling Data'!AJ100</f>
        <v>0</v>
      </c>
      <c r="S100" s="116"/>
      <c r="T100" s="116"/>
      <c r="U100" s="117"/>
      <c r="V100" s="117"/>
      <c r="W100" s="116"/>
      <c r="X100" s="116"/>
      <c r="Y100" s="116"/>
      <c r="Z100" s="116"/>
      <c r="AA100" s="15"/>
      <c r="AB100" s="15"/>
      <c r="AC100" s="15"/>
      <c r="AD100" s="15"/>
      <c r="AE100" s="118" t="str">
        <f>IF(NOT(ISBLANK(Audit[[#This Row],[Audit Winning Candidate]])), Audit[[#This Row],[Audit Winning Candidate]]-Audit[[#This Row],[Winning Candidate]], "")</f>
        <v/>
      </c>
      <c r="AF100" s="114" t="str">
        <f>IF(NOT(ISBLANK(Audit[[#This Row],[Audit Losing Candidate]])), Audit[[#This Row],[Audit Losing Candidate]]-Audit[[#This Row],[Losing Candidate]], "")</f>
        <v/>
      </c>
      <c r="AG100" s="114" t="str">
        <f>IF(NOT(ISBLANK(Audit[[#This Row],[Audit Candidate 3]])), Audit[[#This Row],[Audit Candidate 3]]-Audit[[#This Row],[Candidate 3]], "")</f>
        <v/>
      </c>
      <c r="AH100" s="114" t="str">
        <f>IF(NOT(ISBLANK(Audit[[#This Row],[Audit Candidate 4]])),Audit[[#This Row],[Audit Candidate 4]]-Audit[[#This Row],[Candidate 4]], "")</f>
        <v/>
      </c>
      <c r="AI100" s="114" t="str">
        <f>IF(NOT(ISBLANK(Audit[[#This Row],[Audit Candidate 5]])), Audit[[#This Row],[Audit Candidate 5]]-Audit[[#This Row],[Candidate 5]], "")</f>
        <v/>
      </c>
      <c r="AJ100" s="114" t="str">
        <f>IF(NOT(ISBLANK(Audit[[#This Row],[Audit Candidate 6]])), Audit[[#This Row],[Audit Candidate 6]]-Audit[[#This Row],[Candidate 6]], "")</f>
        <v/>
      </c>
      <c r="AK100" s="114" t="str">
        <f>IF(NOT(ISBLANK(Audit[[#This Row],[Audit Candidate 7]])), Audit[[#This Row],[Audit Candidate 7]]-Audit[[#This Row],[Candidate 7]], "")</f>
        <v/>
      </c>
      <c r="AL100" s="114" t="str">
        <f>IF(NOT(ISBLANK(Audit[[#This Row],[Audit Candidate 8]])), Audit[[#This Row],[Audit Candidate 8]]-Audit[[#This Row],[Candidate 8]], "")</f>
        <v/>
      </c>
      <c r="AM100" s="114" t="str">
        <f>IF(NOT(ISBLANK(Audit[[#This Row],[Audit Candidate 9]])), Audit[[#This Row],[Audit Candidate 9]]-Audit[[#This Row],[Candidate 9]], "")</f>
        <v/>
      </c>
      <c r="AN100" s="114" t="str">
        <f>IF(NOT(ISBLANK(Audit[[#This Row],[Audit Candidate 10]])), Audit[[#This Row],[Audit Candidate 10]]-Audit[[#This Row],[Candidate 10]], "")</f>
        <v/>
      </c>
      <c r="AO100" s="114" t="str">
        <f>IF(NOT(ISBLANK(Audit[[#This Row],[Audit Candidate 11]])), Audit[[#This Row],[Audit Candidate 11]]-Audit[[#This Row],[Candidate 11]], "")</f>
        <v/>
      </c>
      <c r="AP100" s="114" t="str">
        <f>IF(NOT(ISBLANK(Audit[[#This Row],[Audit Candidate 12]])), Audit[[#This Row],[Audit Candidate 12]]-Audit[[#This Row],[Candidate 12]], "")</f>
        <v/>
      </c>
      <c r="AQ100" s="114">
        <f>SUMIF(Audit[[#This Row],[Difference Winner]:[Difference Candidate 12]], "&gt;0")</f>
        <v>0</v>
      </c>
      <c r="AR100" s="114">
        <f>SUM(Audit[[#This Row],[Difference Winner]:[Difference Candidate 12]])</f>
        <v>0</v>
      </c>
      <c r="AS100" s="114">
        <f>IF(Audit[[#This Row],[Times p Drawn - With Replacement]]&gt;0, IF(Audit[[#This Row],[Canceled Differences]]&lt;0, Audit[[#This Row],[Max Differences]]+ABS(Audit[[#This Row],[Canceled Differences]]), Audit[[#This Row],[Max Differences]]), 0)</f>
        <v>0</v>
      </c>
      <c r="AT100" s="114">
        <f>'Sampling Data'!AB100</f>
        <v>4.5509133430250929E-3</v>
      </c>
      <c r="AU100" s="114">
        <f>IF(
      SUM(Audit[[#This Row],[Audit Losing Candidate]:[Audit Candidate 12]])
      &lt;&gt;0,
      (Audit[[#This Row],[Winning Candidate]]-Audit[[#This Row],[Losing Candidate]]-(Audit[[#This Row],[Audit Winning Candidate]]-Audit[[#This Row],[Audit Losing Candidate]]))/(Audit[[#Totals],[Winning Candidate]]-Audit[[#Totals],[Losing Candidate]]),
      0
)</f>
        <v>0</v>
      </c>
      <c r="AV1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0" s="114">
        <f>IF(Audit[[#This Row],[Max Relative Error (ep)]] = 0, 0, Audit[[#This Row],[Max Relative Error (ep)]]/Audit[[#This Row],[Error Bound (up) - Max. possible relative overstatement]])</f>
        <v>0</v>
      </c>
      <c r="BH1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0" s="114">
        <f t="shared" si="2"/>
        <v>1</v>
      </c>
      <c r="BJ100" s="114">
        <f>PRODUCT($BI$5:BI100)</f>
        <v>0.20973752198051165</v>
      </c>
      <c r="BK100" s="112">
        <f>1 - Audit[[#This Row],[K-M P Value]]</f>
        <v>0.79026247801948835</v>
      </c>
      <c r="BL100" s="114" t="str">
        <f>IF(Audit[[#This Row],[K-M P Value]]&gt;1-'General Info'!$B$12,"Continue", "Stop")</f>
        <v>Continue</v>
      </c>
      <c r="BM100" s="113" t="b">
        <f>IF(Audit[[#This Row],[Status - Continue or stop audit]] = "Continue", TRUE, IF(BL99 = "Continue", TRUE, FALSE))</f>
        <v>1</v>
      </c>
      <c r="BN100" s="113"/>
    </row>
    <row r="101" spans="1:66" ht="15" hidden="1" customHeight="1" x14ac:dyDescent="0.35">
      <c r="A101" s="114" t="str">
        <f>'Sampling Data'!AI101</f>
        <v/>
      </c>
      <c r="B101" s="114" t="str">
        <f>'Sampling Data'!A101</f>
        <v>1407 CIN 14-G   (AV)</v>
      </c>
      <c r="C101" s="114">
        <f>'Sampling Data'!B101</f>
        <v>32</v>
      </c>
      <c r="D101" s="114">
        <f>'Sampling Data'!C101</f>
        <v>6</v>
      </c>
      <c r="E101" s="115">
        <f>'Sampling Data'!D101</f>
        <v>0</v>
      </c>
      <c r="F101" s="115">
        <f>'Sampling Data'!E101</f>
        <v>0</v>
      </c>
      <c r="G101" s="115">
        <f>'Sampling Data'!F101</f>
        <v>0</v>
      </c>
      <c r="H101" s="115">
        <f>'Sampling Data'!G101</f>
        <v>0</v>
      </c>
      <c r="I101" s="115">
        <f>'Sampling Data'!H101</f>
        <v>0</v>
      </c>
      <c r="J101" s="115">
        <f>'Sampling Data'!I101</f>
        <v>0</v>
      </c>
      <c r="K101" s="115">
        <f>'Sampling Data'!J101</f>
        <v>0</v>
      </c>
      <c r="L101" s="115">
        <f>'Sampling Data'!K101</f>
        <v>0</v>
      </c>
      <c r="M101" s="115">
        <f>'Sampling Data'!L101</f>
        <v>0</v>
      </c>
      <c r="N101" s="115">
        <f>'Sampling Data'!M101</f>
        <v>0</v>
      </c>
      <c r="O101" s="114">
        <f>'Sampling Data'!N101</f>
        <v>0</v>
      </c>
      <c r="P101" s="114">
        <f>'Sampling Data'!O101</f>
        <v>0</v>
      </c>
      <c r="Q101" s="114">
        <f>'Sampling Data'!P101</f>
        <v>38</v>
      </c>
      <c r="R101" s="114">
        <f>'Sampling Data'!AJ101</f>
        <v>0</v>
      </c>
      <c r="S101" s="116"/>
      <c r="T101" s="116"/>
      <c r="U101" s="117"/>
      <c r="V101" s="117"/>
      <c r="W101" s="116"/>
      <c r="X101" s="116"/>
      <c r="Y101" s="116"/>
      <c r="Z101" s="116"/>
      <c r="AA101" s="15"/>
      <c r="AB101" s="15"/>
      <c r="AC101" s="15"/>
      <c r="AD101" s="15"/>
      <c r="AE101" s="118" t="str">
        <f>IF(NOT(ISBLANK(Audit[[#This Row],[Audit Winning Candidate]])), Audit[[#This Row],[Audit Winning Candidate]]-Audit[[#This Row],[Winning Candidate]], "")</f>
        <v/>
      </c>
      <c r="AF101" s="114" t="str">
        <f>IF(NOT(ISBLANK(Audit[[#This Row],[Audit Losing Candidate]])), Audit[[#This Row],[Audit Losing Candidate]]-Audit[[#This Row],[Losing Candidate]], "")</f>
        <v/>
      </c>
      <c r="AG101" s="114" t="str">
        <f>IF(NOT(ISBLANK(Audit[[#This Row],[Audit Candidate 3]])), Audit[[#This Row],[Audit Candidate 3]]-Audit[[#This Row],[Candidate 3]], "")</f>
        <v/>
      </c>
      <c r="AH101" s="114" t="str">
        <f>IF(NOT(ISBLANK(Audit[[#This Row],[Audit Candidate 4]])),Audit[[#This Row],[Audit Candidate 4]]-Audit[[#This Row],[Candidate 4]], "")</f>
        <v/>
      </c>
      <c r="AI101" s="114" t="str">
        <f>IF(NOT(ISBLANK(Audit[[#This Row],[Audit Candidate 5]])), Audit[[#This Row],[Audit Candidate 5]]-Audit[[#This Row],[Candidate 5]], "")</f>
        <v/>
      </c>
      <c r="AJ101" s="114" t="str">
        <f>IF(NOT(ISBLANK(Audit[[#This Row],[Audit Candidate 6]])), Audit[[#This Row],[Audit Candidate 6]]-Audit[[#This Row],[Candidate 6]], "")</f>
        <v/>
      </c>
      <c r="AK101" s="114" t="str">
        <f>IF(NOT(ISBLANK(Audit[[#This Row],[Audit Candidate 7]])), Audit[[#This Row],[Audit Candidate 7]]-Audit[[#This Row],[Candidate 7]], "")</f>
        <v/>
      </c>
      <c r="AL101" s="114" t="str">
        <f>IF(NOT(ISBLANK(Audit[[#This Row],[Audit Candidate 8]])), Audit[[#This Row],[Audit Candidate 8]]-Audit[[#This Row],[Candidate 8]], "")</f>
        <v/>
      </c>
      <c r="AM101" s="114" t="str">
        <f>IF(NOT(ISBLANK(Audit[[#This Row],[Audit Candidate 9]])), Audit[[#This Row],[Audit Candidate 9]]-Audit[[#This Row],[Candidate 9]], "")</f>
        <v/>
      </c>
      <c r="AN101" s="114" t="str">
        <f>IF(NOT(ISBLANK(Audit[[#This Row],[Audit Candidate 10]])), Audit[[#This Row],[Audit Candidate 10]]-Audit[[#This Row],[Candidate 10]], "")</f>
        <v/>
      </c>
      <c r="AO101" s="114" t="str">
        <f>IF(NOT(ISBLANK(Audit[[#This Row],[Audit Candidate 11]])), Audit[[#This Row],[Audit Candidate 11]]-Audit[[#This Row],[Candidate 11]], "")</f>
        <v/>
      </c>
      <c r="AP101" s="114" t="str">
        <f>IF(NOT(ISBLANK(Audit[[#This Row],[Audit Candidate 12]])), Audit[[#This Row],[Audit Candidate 12]]-Audit[[#This Row],[Candidate 12]], "")</f>
        <v/>
      </c>
      <c r="AQ101" s="114">
        <f>SUMIF(Audit[[#This Row],[Difference Winner]:[Difference Candidate 12]], "&gt;0")</f>
        <v>0</v>
      </c>
      <c r="AR101" s="114">
        <f>SUM(Audit[[#This Row],[Difference Winner]:[Difference Candidate 12]])</f>
        <v>0</v>
      </c>
      <c r="AS101" s="114">
        <f>IF(Audit[[#This Row],[Times p Drawn - With Replacement]]&gt;0, IF(Audit[[#This Row],[Canceled Differences]]&lt;0, Audit[[#This Row],[Max Differences]]+ABS(Audit[[#This Row],[Canceled Differences]]), Audit[[#This Row],[Max Differences]]), 0)</f>
        <v>0</v>
      </c>
      <c r="AT101" s="114">
        <f>'Sampling Data'!AB101</f>
        <v>4.0452563049111941E-3</v>
      </c>
      <c r="AU101" s="114">
        <f>IF(
      SUM(Audit[[#This Row],[Audit Losing Candidate]:[Audit Candidate 12]])
      &lt;&gt;0,
      (Audit[[#This Row],[Winning Candidate]]-Audit[[#This Row],[Losing Candidate]]-(Audit[[#This Row],[Audit Winning Candidate]]-Audit[[#This Row],[Audit Losing Candidate]]))/(Audit[[#Totals],[Winning Candidate]]-Audit[[#Totals],[Losing Candidate]]),
      0
)</f>
        <v>0</v>
      </c>
      <c r="AV1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1" s="114">
        <f>IF(Audit[[#This Row],[Max Relative Error (ep)]] = 0, 0, Audit[[#This Row],[Max Relative Error (ep)]]/Audit[[#This Row],[Error Bound (up) - Max. possible relative overstatement]])</f>
        <v>0</v>
      </c>
      <c r="BH1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1" s="114">
        <f t="shared" si="2"/>
        <v>1</v>
      </c>
      <c r="BJ101" s="114">
        <f>PRODUCT($BI$5:BI101)</f>
        <v>0.20973752198051165</v>
      </c>
      <c r="BK101" s="112">
        <f>1 - Audit[[#This Row],[K-M P Value]]</f>
        <v>0.79026247801948835</v>
      </c>
      <c r="BL101" s="114" t="str">
        <f>IF(Audit[[#This Row],[K-M P Value]]&gt;1-'General Info'!$B$12,"Continue", "Stop")</f>
        <v>Continue</v>
      </c>
      <c r="BM101" s="113" t="b">
        <f>IF(Audit[[#This Row],[Status - Continue or stop audit]] = "Continue", TRUE, IF(BL100 = "Continue", TRUE, FALSE))</f>
        <v>1</v>
      </c>
      <c r="BN101" s="113"/>
    </row>
    <row r="102" spans="1:66" ht="15" hidden="1" customHeight="1" x14ac:dyDescent="0.35">
      <c r="A102" s="114" t="str">
        <f>'Sampling Data'!AI102</f>
        <v/>
      </c>
      <c r="B102" s="114" t="str">
        <f>'Sampling Data'!A102</f>
        <v>1408 CIN 14-H   (AV)</v>
      </c>
      <c r="C102" s="114">
        <f>'Sampling Data'!B102</f>
        <v>48</v>
      </c>
      <c r="D102" s="114">
        <f>'Sampling Data'!C102</f>
        <v>3</v>
      </c>
      <c r="E102" s="115">
        <f>'Sampling Data'!D102</f>
        <v>0</v>
      </c>
      <c r="F102" s="115">
        <f>'Sampling Data'!E102</f>
        <v>0</v>
      </c>
      <c r="G102" s="115">
        <f>'Sampling Data'!F102</f>
        <v>0</v>
      </c>
      <c r="H102" s="115">
        <f>'Sampling Data'!G102</f>
        <v>0</v>
      </c>
      <c r="I102" s="115">
        <f>'Sampling Data'!H102</f>
        <v>0</v>
      </c>
      <c r="J102" s="115">
        <f>'Sampling Data'!I102</f>
        <v>0</v>
      </c>
      <c r="K102" s="115">
        <f>'Sampling Data'!J102</f>
        <v>0</v>
      </c>
      <c r="L102" s="115">
        <f>'Sampling Data'!K102</f>
        <v>0</v>
      </c>
      <c r="M102" s="115">
        <f>'Sampling Data'!L102</f>
        <v>0</v>
      </c>
      <c r="N102" s="115">
        <f>'Sampling Data'!M102</f>
        <v>0</v>
      </c>
      <c r="O102" s="114">
        <f>'Sampling Data'!N102</f>
        <v>0</v>
      </c>
      <c r="P102" s="114">
        <f>'Sampling Data'!O102</f>
        <v>0</v>
      </c>
      <c r="Q102" s="114">
        <f>'Sampling Data'!P102</f>
        <v>51</v>
      </c>
      <c r="R102" s="114">
        <f>'Sampling Data'!AJ102</f>
        <v>0</v>
      </c>
      <c r="S102" s="116"/>
      <c r="T102" s="116"/>
      <c r="U102" s="117"/>
      <c r="V102" s="117"/>
      <c r="W102" s="116"/>
      <c r="X102" s="116"/>
      <c r="Y102" s="116"/>
      <c r="Z102" s="116"/>
      <c r="AA102" s="15"/>
      <c r="AB102" s="15"/>
      <c r="AC102" s="15"/>
      <c r="AD102" s="15"/>
      <c r="AE102" s="118" t="str">
        <f>IF(NOT(ISBLANK(Audit[[#This Row],[Audit Winning Candidate]])), Audit[[#This Row],[Audit Winning Candidate]]-Audit[[#This Row],[Winning Candidate]], "")</f>
        <v/>
      </c>
      <c r="AF102" s="114" t="str">
        <f>IF(NOT(ISBLANK(Audit[[#This Row],[Audit Losing Candidate]])), Audit[[#This Row],[Audit Losing Candidate]]-Audit[[#This Row],[Losing Candidate]], "")</f>
        <v/>
      </c>
      <c r="AG102" s="114" t="str">
        <f>IF(NOT(ISBLANK(Audit[[#This Row],[Audit Candidate 3]])), Audit[[#This Row],[Audit Candidate 3]]-Audit[[#This Row],[Candidate 3]], "")</f>
        <v/>
      </c>
      <c r="AH102" s="114" t="str">
        <f>IF(NOT(ISBLANK(Audit[[#This Row],[Audit Candidate 4]])),Audit[[#This Row],[Audit Candidate 4]]-Audit[[#This Row],[Candidate 4]], "")</f>
        <v/>
      </c>
      <c r="AI102" s="114" t="str">
        <f>IF(NOT(ISBLANK(Audit[[#This Row],[Audit Candidate 5]])), Audit[[#This Row],[Audit Candidate 5]]-Audit[[#This Row],[Candidate 5]], "")</f>
        <v/>
      </c>
      <c r="AJ102" s="114" t="str">
        <f>IF(NOT(ISBLANK(Audit[[#This Row],[Audit Candidate 6]])), Audit[[#This Row],[Audit Candidate 6]]-Audit[[#This Row],[Candidate 6]], "")</f>
        <v/>
      </c>
      <c r="AK102" s="114" t="str">
        <f>IF(NOT(ISBLANK(Audit[[#This Row],[Audit Candidate 7]])), Audit[[#This Row],[Audit Candidate 7]]-Audit[[#This Row],[Candidate 7]], "")</f>
        <v/>
      </c>
      <c r="AL102" s="114" t="str">
        <f>IF(NOT(ISBLANK(Audit[[#This Row],[Audit Candidate 8]])), Audit[[#This Row],[Audit Candidate 8]]-Audit[[#This Row],[Candidate 8]], "")</f>
        <v/>
      </c>
      <c r="AM102" s="114" t="str">
        <f>IF(NOT(ISBLANK(Audit[[#This Row],[Audit Candidate 9]])), Audit[[#This Row],[Audit Candidate 9]]-Audit[[#This Row],[Candidate 9]], "")</f>
        <v/>
      </c>
      <c r="AN102" s="114" t="str">
        <f>IF(NOT(ISBLANK(Audit[[#This Row],[Audit Candidate 10]])), Audit[[#This Row],[Audit Candidate 10]]-Audit[[#This Row],[Candidate 10]], "")</f>
        <v/>
      </c>
      <c r="AO102" s="114" t="str">
        <f>IF(NOT(ISBLANK(Audit[[#This Row],[Audit Candidate 11]])), Audit[[#This Row],[Audit Candidate 11]]-Audit[[#This Row],[Candidate 11]], "")</f>
        <v/>
      </c>
      <c r="AP102" s="114" t="str">
        <f>IF(NOT(ISBLANK(Audit[[#This Row],[Audit Candidate 12]])), Audit[[#This Row],[Audit Candidate 12]]-Audit[[#This Row],[Candidate 12]], "")</f>
        <v/>
      </c>
      <c r="AQ102" s="114">
        <f>SUMIF(Audit[[#This Row],[Difference Winner]:[Difference Candidate 12]], "&gt;0")</f>
        <v>0</v>
      </c>
      <c r="AR102" s="114">
        <f>SUM(Audit[[#This Row],[Difference Winner]:[Difference Candidate 12]])</f>
        <v>0</v>
      </c>
      <c r="AS102" s="114">
        <f>IF(Audit[[#This Row],[Times p Drawn - With Replacement]]&gt;0, IF(Audit[[#This Row],[Canceled Differences]]&lt;0, Audit[[#This Row],[Max Differences]]+ABS(Audit[[#This Row],[Canceled Differences]]), Audit[[#This Row],[Max Differences]]), 0)</f>
        <v>0</v>
      </c>
      <c r="AT102" s="114">
        <f>'Sampling Data'!AB102</f>
        <v>6.0678844573667911E-3</v>
      </c>
      <c r="AU102" s="114">
        <f>IF(
      SUM(Audit[[#This Row],[Audit Losing Candidate]:[Audit Candidate 12]])
      &lt;&gt;0,
      (Audit[[#This Row],[Winning Candidate]]-Audit[[#This Row],[Losing Candidate]]-(Audit[[#This Row],[Audit Winning Candidate]]-Audit[[#This Row],[Audit Losing Candidate]]))/(Audit[[#Totals],[Winning Candidate]]-Audit[[#Totals],[Losing Candidate]]),
      0
)</f>
        <v>0</v>
      </c>
      <c r="AV1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2" s="114">
        <f>IF(Audit[[#This Row],[Max Relative Error (ep)]] = 0, 0, Audit[[#This Row],[Max Relative Error (ep)]]/Audit[[#This Row],[Error Bound (up) - Max. possible relative overstatement]])</f>
        <v>0</v>
      </c>
      <c r="BH1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2" s="114">
        <f t="shared" si="2"/>
        <v>1</v>
      </c>
      <c r="BJ102" s="114">
        <f>PRODUCT($BI$5:BI102)</f>
        <v>0.20973752198051165</v>
      </c>
      <c r="BK102" s="112">
        <f>1 - Audit[[#This Row],[K-M P Value]]</f>
        <v>0.79026247801948835</v>
      </c>
      <c r="BL102" s="114" t="str">
        <f>IF(Audit[[#This Row],[K-M P Value]]&gt;1-'General Info'!$B$12,"Continue", "Stop")</f>
        <v>Continue</v>
      </c>
      <c r="BM102" s="113" t="b">
        <f>IF(Audit[[#This Row],[Status - Continue or stop audit]] = "Continue", TRUE, IF(BL101 = "Continue", TRUE, FALSE))</f>
        <v>1</v>
      </c>
      <c r="BN102" s="113"/>
    </row>
    <row r="103" spans="1:66" ht="15" hidden="1" customHeight="1" x14ac:dyDescent="0.35">
      <c r="A103" s="114" t="str">
        <f>'Sampling Data'!AI103</f>
        <v/>
      </c>
      <c r="B103" s="114" t="str">
        <f>'Sampling Data'!A103</f>
        <v>1409 CIN 14-I   (AV)</v>
      </c>
      <c r="C103" s="114">
        <f>'Sampling Data'!B103</f>
        <v>31</v>
      </c>
      <c r="D103" s="114">
        <f>'Sampling Data'!C103</f>
        <v>2</v>
      </c>
      <c r="E103" s="115">
        <f>'Sampling Data'!D103</f>
        <v>2</v>
      </c>
      <c r="F103" s="115">
        <f>'Sampling Data'!E103</f>
        <v>0</v>
      </c>
      <c r="G103" s="115">
        <f>'Sampling Data'!F103</f>
        <v>0</v>
      </c>
      <c r="H103" s="115">
        <f>'Sampling Data'!G103</f>
        <v>0</v>
      </c>
      <c r="I103" s="115">
        <f>'Sampling Data'!H103</f>
        <v>0</v>
      </c>
      <c r="J103" s="115">
        <f>'Sampling Data'!I103</f>
        <v>0</v>
      </c>
      <c r="K103" s="115">
        <f>'Sampling Data'!J103</f>
        <v>0</v>
      </c>
      <c r="L103" s="115">
        <f>'Sampling Data'!K103</f>
        <v>0</v>
      </c>
      <c r="M103" s="115">
        <f>'Sampling Data'!L103</f>
        <v>0</v>
      </c>
      <c r="N103" s="115">
        <f>'Sampling Data'!M103</f>
        <v>0</v>
      </c>
      <c r="O103" s="114">
        <f>'Sampling Data'!N103</f>
        <v>0</v>
      </c>
      <c r="P103" s="114">
        <f>'Sampling Data'!O103</f>
        <v>0</v>
      </c>
      <c r="Q103" s="114">
        <f>'Sampling Data'!P103</f>
        <v>35</v>
      </c>
      <c r="R103" s="114">
        <f>'Sampling Data'!AJ103</f>
        <v>0</v>
      </c>
      <c r="S103" s="116"/>
      <c r="T103" s="116"/>
      <c r="U103" s="117"/>
      <c r="V103" s="117"/>
      <c r="W103" s="116"/>
      <c r="X103" s="116"/>
      <c r="Y103" s="116"/>
      <c r="Z103" s="116"/>
      <c r="AA103" s="15"/>
      <c r="AB103" s="15"/>
      <c r="AC103" s="15"/>
      <c r="AD103" s="15"/>
      <c r="AE103" s="118" t="str">
        <f>IF(NOT(ISBLANK(Audit[[#This Row],[Audit Winning Candidate]])), Audit[[#This Row],[Audit Winning Candidate]]-Audit[[#This Row],[Winning Candidate]], "")</f>
        <v/>
      </c>
      <c r="AF103" s="114" t="str">
        <f>IF(NOT(ISBLANK(Audit[[#This Row],[Audit Losing Candidate]])), Audit[[#This Row],[Audit Losing Candidate]]-Audit[[#This Row],[Losing Candidate]], "")</f>
        <v/>
      </c>
      <c r="AG103" s="114" t="str">
        <f>IF(NOT(ISBLANK(Audit[[#This Row],[Audit Candidate 3]])), Audit[[#This Row],[Audit Candidate 3]]-Audit[[#This Row],[Candidate 3]], "")</f>
        <v/>
      </c>
      <c r="AH103" s="114" t="str">
        <f>IF(NOT(ISBLANK(Audit[[#This Row],[Audit Candidate 4]])),Audit[[#This Row],[Audit Candidate 4]]-Audit[[#This Row],[Candidate 4]], "")</f>
        <v/>
      </c>
      <c r="AI103" s="114" t="str">
        <f>IF(NOT(ISBLANK(Audit[[#This Row],[Audit Candidate 5]])), Audit[[#This Row],[Audit Candidate 5]]-Audit[[#This Row],[Candidate 5]], "")</f>
        <v/>
      </c>
      <c r="AJ103" s="114" t="str">
        <f>IF(NOT(ISBLANK(Audit[[#This Row],[Audit Candidate 6]])), Audit[[#This Row],[Audit Candidate 6]]-Audit[[#This Row],[Candidate 6]], "")</f>
        <v/>
      </c>
      <c r="AK103" s="114" t="str">
        <f>IF(NOT(ISBLANK(Audit[[#This Row],[Audit Candidate 7]])), Audit[[#This Row],[Audit Candidate 7]]-Audit[[#This Row],[Candidate 7]], "")</f>
        <v/>
      </c>
      <c r="AL103" s="114" t="str">
        <f>IF(NOT(ISBLANK(Audit[[#This Row],[Audit Candidate 8]])), Audit[[#This Row],[Audit Candidate 8]]-Audit[[#This Row],[Candidate 8]], "")</f>
        <v/>
      </c>
      <c r="AM103" s="114" t="str">
        <f>IF(NOT(ISBLANK(Audit[[#This Row],[Audit Candidate 9]])), Audit[[#This Row],[Audit Candidate 9]]-Audit[[#This Row],[Candidate 9]], "")</f>
        <v/>
      </c>
      <c r="AN103" s="114" t="str">
        <f>IF(NOT(ISBLANK(Audit[[#This Row],[Audit Candidate 10]])), Audit[[#This Row],[Audit Candidate 10]]-Audit[[#This Row],[Candidate 10]], "")</f>
        <v/>
      </c>
      <c r="AO103" s="114" t="str">
        <f>IF(NOT(ISBLANK(Audit[[#This Row],[Audit Candidate 11]])), Audit[[#This Row],[Audit Candidate 11]]-Audit[[#This Row],[Candidate 11]], "")</f>
        <v/>
      </c>
      <c r="AP103" s="114" t="str">
        <f>IF(NOT(ISBLANK(Audit[[#This Row],[Audit Candidate 12]])), Audit[[#This Row],[Audit Candidate 12]]-Audit[[#This Row],[Candidate 12]], "")</f>
        <v/>
      </c>
      <c r="AQ103" s="114">
        <f>SUMIF(Audit[[#This Row],[Difference Winner]:[Difference Candidate 12]], "&gt;0")</f>
        <v>0</v>
      </c>
      <c r="AR103" s="114">
        <f>SUM(Audit[[#This Row],[Difference Winner]:[Difference Candidate 12]])</f>
        <v>0</v>
      </c>
      <c r="AS103" s="114">
        <f>IF(Audit[[#This Row],[Times p Drawn - With Replacement]]&gt;0, IF(Audit[[#This Row],[Canceled Differences]]&lt;0, Audit[[#This Row],[Max Differences]]+ABS(Audit[[#This Row],[Canceled Differences]]), Audit[[#This Row],[Max Differences]]), 0)</f>
        <v>0</v>
      </c>
      <c r="AT103" s="114">
        <f>'Sampling Data'!AB103</f>
        <v>4.0452563049111941E-3</v>
      </c>
      <c r="AU103" s="114">
        <f>IF(
      SUM(Audit[[#This Row],[Audit Losing Candidate]:[Audit Candidate 12]])
      &lt;&gt;0,
      (Audit[[#This Row],[Winning Candidate]]-Audit[[#This Row],[Losing Candidate]]-(Audit[[#This Row],[Audit Winning Candidate]]-Audit[[#This Row],[Audit Losing Candidate]]))/(Audit[[#Totals],[Winning Candidate]]-Audit[[#Totals],[Losing Candidate]]),
      0
)</f>
        <v>0</v>
      </c>
      <c r="AV1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3" s="114">
        <f>IF(Audit[[#This Row],[Max Relative Error (ep)]] = 0, 0, Audit[[#This Row],[Max Relative Error (ep)]]/Audit[[#This Row],[Error Bound (up) - Max. possible relative overstatement]])</f>
        <v>0</v>
      </c>
      <c r="BH1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3" s="114">
        <f t="shared" si="2"/>
        <v>1</v>
      </c>
      <c r="BJ103" s="114">
        <f>PRODUCT($BI$5:BI103)</f>
        <v>0.20973752198051165</v>
      </c>
      <c r="BK103" s="112">
        <f>1 - Audit[[#This Row],[K-M P Value]]</f>
        <v>0.79026247801948835</v>
      </c>
      <c r="BL103" s="114" t="str">
        <f>IF(Audit[[#This Row],[K-M P Value]]&gt;1-'General Info'!$B$12,"Continue", "Stop")</f>
        <v>Continue</v>
      </c>
      <c r="BM103" s="113" t="b">
        <f>IF(Audit[[#This Row],[Status - Continue or stop audit]] = "Continue", TRUE, IF(BL102 = "Continue", TRUE, FALSE))</f>
        <v>1</v>
      </c>
      <c r="BN103" s="113"/>
    </row>
    <row r="104" spans="1:66" ht="15" hidden="1" customHeight="1" x14ac:dyDescent="0.35">
      <c r="A104" s="114" t="str">
        <f>'Sampling Data'!AI104</f>
        <v/>
      </c>
      <c r="B104" s="114" t="str">
        <f>'Sampling Data'!A104</f>
        <v>1501 CIN 15-A   (AV)</v>
      </c>
      <c r="C104" s="114">
        <f>'Sampling Data'!B104</f>
        <v>15</v>
      </c>
      <c r="D104" s="114">
        <f>'Sampling Data'!C104</f>
        <v>2</v>
      </c>
      <c r="E104" s="115">
        <f>'Sampling Data'!D104</f>
        <v>0</v>
      </c>
      <c r="F104" s="115">
        <f>'Sampling Data'!E104</f>
        <v>0</v>
      </c>
      <c r="G104" s="115">
        <f>'Sampling Data'!F104</f>
        <v>0</v>
      </c>
      <c r="H104" s="115">
        <f>'Sampling Data'!G104</f>
        <v>0</v>
      </c>
      <c r="I104" s="115">
        <f>'Sampling Data'!H104</f>
        <v>0</v>
      </c>
      <c r="J104" s="115">
        <f>'Sampling Data'!I104</f>
        <v>0</v>
      </c>
      <c r="K104" s="115">
        <f>'Sampling Data'!J104</f>
        <v>0</v>
      </c>
      <c r="L104" s="115">
        <f>'Sampling Data'!K104</f>
        <v>0</v>
      </c>
      <c r="M104" s="115">
        <f>'Sampling Data'!L104</f>
        <v>0</v>
      </c>
      <c r="N104" s="115">
        <f>'Sampling Data'!M104</f>
        <v>0</v>
      </c>
      <c r="O104" s="114">
        <f>'Sampling Data'!N104</f>
        <v>0</v>
      </c>
      <c r="P104" s="114">
        <f>'Sampling Data'!O104</f>
        <v>1</v>
      </c>
      <c r="Q104" s="114">
        <f>'Sampling Data'!P104</f>
        <v>18</v>
      </c>
      <c r="R104" s="114">
        <f>'Sampling Data'!AJ104</f>
        <v>0</v>
      </c>
      <c r="S104" s="116"/>
      <c r="T104" s="116"/>
      <c r="U104" s="117"/>
      <c r="V104" s="117"/>
      <c r="W104" s="116"/>
      <c r="X104" s="116"/>
      <c r="Y104" s="116"/>
      <c r="Z104" s="116"/>
      <c r="AA104" s="15"/>
      <c r="AB104" s="15"/>
      <c r="AC104" s="15"/>
      <c r="AD104" s="15"/>
      <c r="AE104" s="118" t="str">
        <f>IF(NOT(ISBLANK(Audit[[#This Row],[Audit Winning Candidate]])), Audit[[#This Row],[Audit Winning Candidate]]-Audit[[#This Row],[Winning Candidate]], "")</f>
        <v/>
      </c>
      <c r="AF104" s="114" t="str">
        <f>IF(NOT(ISBLANK(Audit[[#This Row],[Audit Losing Candidate]])), Audit[[#This Row],[Audit Losing Candidate]]-Audit[[#This Row],[Losing Candidate]], "")</f>
        <v/>
      </c>
      <c r="AG104" s="114" t="str">
        <f>IF(NOT(ISBLANK(Audit[[#This Row],[Audit Candidate 3]])), Audit[[#This Row],[Audit Candidate 3]]-Audit[[#This Row],[Candidate 3]], "")</f>
        <v/>
      </c>
      <c r="AH104" s="114" t="str">
        <f>IF(NOT(ISBLANK(Audit[[#This Row],[Audit Candidate 4]])),Audit[[#This Row],[Audit Candidate 4]]-Audit[[#This Row],[Candidate 4]], "")</f>
        <v/>
      </c>
      <c r="AI104" s="114" t="str">
        <f>IF(NOT(ISBLANK(Audit[[#This Row],[Audit Candidate 5]])), Audit[[#This Row],[Audit Candidate 5]]-Audit[[#This Row],[Candidate 5]], "")</f>
        <v/>
      </c>
      <c r="AJ104" s="114" t="str">
        <f>IF(NOT(ISBLANK(Audit[[#This Row],[Audit Candidate 6]])), Audit[[#This Row],[Audit Candidate 6]]-Audit[[#This Row],[Candidate 6]], "")</f>
        <v/>
      </c>
      <c r="AK104" s="114" t="str">
        <f>IF(NOT(ISBLANK(Audit[[#This Row],[Audit Candidate 7]])), Audit[[#This Row],[Audit Candidate 7]]-Audit[[#This Row],[Candidate 7]], "")</f>
        <v/>
      </c>
      <c r="AL104" s="114" t="str">
        <f>IF(NOT(ISBLANK(Audit[[#This Row],[Audit Candidate 8]])), Audit[[#This Row],[Audit Candidate 8]]-Audit[[#This Row],[Candidate 8]], "")</f>
        <v/>
      </c>
      <c r="AM104" s="114" t="str">
        <f>IF(NOT(ISBLANK(Audit[[#This Row],[Audit Candidate 9]])), Audit[[#This Row],[Audit Candidate 9]]-Audit[[#This Row],[Candidate 9]], "")</f>
        <v/>
      </c>
      <c r="AN104" s="114" t="str">
        <f>IF(NOT(ISBLANK(Audit[[#This Row],[Audit Candidate 10]])), Audit[[#This Row],[Audit Candidate 10]]-Audit[[#This Row],[Candidate 10]], "")</f>
        <v/>
      </c>
      <c r="AO104" s="114" t="str">
        <f>IF(NOT(ISBLANK(Audit[[#This Row],[Audit Candidate 11]])), Audit[[#This Row],[Audit Candidate 11]]-Audit[[#This Row],[Candidate 11]], "")</f>
        <v/>
      </c>
      <c r="AP104" s="114" t="str">
        <f>IF(NOT(ISBLANK(Audit[[#This Row],[Audit Candidate 12]])), Audit[[#This Row],[Audit Candidate 12]]-Audit[[#This Row],[Candidate 12]], "")</f>
        <v/>
      </c>
      <c r="AQ104" s="114">
        <f>SUMIF(Audit[[#This Row],[Difference Winner]:[Difference Candidate 12]], "&gt;0")</f>
        <v>0</v>
      </c>
      <c r="AR104" s="114">
        <f>SUM(Audit[[#This Row],[Difference Winner]:[Difference Candidate 12]])</f>
        <v>0</v>
      </c>
      <c r="AS104" s="114">
        <f>IF(Audit[[#This Row],[Times p Drawn - With Replacement]]&gt;0, IF(Audit[[#This Row],[Canceled Differences]]&lt;0, Audit[[#This Row],[Max Differences]]+ABS(Audit[[#This Row],[Canceled Differences]]), Audit[[#This Row],[Max Differences]]), 0)</f>
        <v>0</v>
      </c>
      <c r="AT104" s="114">
        <f>'Sampling Data'!AB104</f>
        <v>1.9594210226913595E-3</v>
      </c>
      <c r="AU104" s="114">
        <f>IF(
      SUM(Audit[[#This Row],[Audit Losing Candidate]:[Audit Candidate 12]])
      &lt;&gt;0,
      (Audit[[#This Row],[Winning Candidate]]-Audit[[#This Row],[Losing Candidate]]-(Audit[[#This Row],[Audit Winning Candidate]]-Audit[[#This Row],[Audit Losing Candidate]]))/(Audit[[#Totals],[Winning Candidate]]-Audit[[#Totals],[Losing Candidate]]),
      0
)</f>
        <v>0</v>
      </c>
      <c r="AV1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4" s="114">
        <f>IF(Audit[[#This Row],[Max Relative Error (ep)]] = 0, 0, Audit[[#This Row],[Max Relative Error (ep)]]/Audit[[#This Row],[Error Bound (up) - Max. possible relative overstatement]])</f>
        <v>0</v>
      </c>
      <c r="BH1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4" s="114">
        <f t="shared" si="2"/>
        <v>1</v>
      </c>
      <c r="BJ104" s="114">
        <f>PRODUCT($BI$5:BI104)</f>
        <v>0.20973752198051165</v>
      </c>
      <c r="BK104" s="112">
        <f>1 - Audit[[#This Row],[K-M P Value]]</f>
        <v>0.79026247801948835</v>
      </c>
      <c r="BL104" s="114" t="str">
        <f>IF(Audit[[#This Row],[K-M P Value]]&gt;1-'General Info'!$B$12,"Continue", "Stop")</f>
        <v>Continue</v>
      </c>
      <c r="BM104" s="113" t="b">
        <f>IF(Audit[[#This Row],[Status - Continue or stop audit]] = "Continue", TRUE, IF(BL103 = "Continue", TRUE, FALSE))</f>
        <v>1</v>
      </c>
      <c r="BN104" s="113"/>
    </row>
    <row r="105" spans="1:66" ht="15" hidden="1" customHeight="1" x14ac:dyDescent="0.35">
      <c r="A105" s="114" t="str">
        <f>'Sampling Data'!AI105</f>
        <v/>
      </c>
      <c r="B105" s="114" t="str">
        <f>'Sampling Data'!A105</f>
        <v>1502 CIN 15-B   (AV)</v>
      </c>
      <c r="C105" s="114">
        <f>'Sampling Data'!B105</f>
        <v>40</v>
      </c>
      <c r="D105" s="114">
        <f>'Sampling Data'!C105</f>
        <v>3</v>
      </c>
      <c r="E105" s="115">
        <f>'Sampling Data'!D105</f>
        <v>0</v>
      </c>
      <c r="F105" s="115">
        <f>'Sampling Data'!E105</f>
        <v>0</v>
      </c>
      <c r="G105" s="115">
        <f>'Sampling Data'!F105</f>
        <v>0</v>
      </c>
      <c r="H105" s="115">
        <f>'Sampling Data'!G105</f>
        <v>0</v>
      </c>
      <c r="I105" s="115">
        <f>'Sampling Data'!H105</f>
        <v>0</v>
      </c>
      <c r="J105" s="115">
        <f>'Sampling Data'!I105</f>
        <v>0</v>
      </c>
      <c r="K105" s="115">
        <f>'Sampling Data'!J105</f>
        <v>0</v>
      </c>
      <c r="L105" s="115">
        <f>'Sampling Data'!K105</f>
        <v>0</v>
      </c>
      <c r="M105" s="115">
        <f>'Sampling Data'!L105</f>
        <v>0</v>
      </c>
      <c r="N105" s="115">
        <f>'Sampling Data'!M105</f>
        <v>0</v>
      </c>
      <c r="O105" s="114">
        <f>'Sampling Data'!N105</f>
        <v>0</v>
      </c>
      <c r="P105" s="114">
        <f>'Sampling Data'!O105</f>
        <v>0</v>
      </c>
      <c r="Q105" s="114">
        <f>'Sampling Data'!P105</f>
        <v>43</v>
      </c>
      <c r="R105" s="114">
        <f>'Sampling Data'!AJ105</f>
        <v>0</v>
      </c>
      <c r="S105" s="116"/>
      <c r="T105" s="116"/>
      <c r="U105" s="117"/>
      <c r="V105" s="117"/>
      <c r="W105" s="116"/>
      <c r="X105" s="116"/>
      <c r="Y105" s="116"/>
      <c r="Z105" s="116"/>
      <c r="AA105" s="15"/>
      <c r="AB105" s="15"/>
      <c r="AC105" s="15"/>
      <c r="AD105" s="15"/>
      <c r="AE105" s="118" t="str">
        <f>IF(NOT(ISBLANK(Audit[[#This Row],[Audit Winning Candidate]])), Audit[[#This Row],[Audit Winning Candidate]]-Audit[[#This Row],[Winning Candidate]], "")</f>
        <v/>
      </c>
      <c r="AF105" s="114" t="str">
        <f>IF(NOT(ISBLANK(Audit[[#This Row],[Audit Losing Candidate]])), Audit[[#This Row],[Audit Losing Candidate]]-Audit[[#This Row],[Losing Candidate]], "")</f>
        <v/>
      </c>
      <c r="AG105" s="114" t="str">
        <f>IF(NOT(ISBLANK(Audit[[#This Row],[Audit Candidate 3]])), Audit[[#This Row],[Audit Candidate 3]]-Audit[[#This Row],[Candidate 3]], "")</f>
        <v/>
      </c>
      <c r="AH105" s="114" t="str">
        <f>IF(NOT(ISBLANK(Audit[[#This Row],[Audit Candidate 4]])),Audit[[#This Row],[Audit Candidate 4]]-Audit[[#This Row],[Candidate 4]], "")</f>
        <v/>
      </c>
      <c r="AI105" s="114" t="str">
        <f>IF(NOT(ISBLANK(Audit[[#This Row],[Audit Candidate 5]])), Audit[[#This Row],[Audit Candidate 5]]-Audit[[#This Row],[Candidate 5]], "")</f>
        <v/>
      </c>
      <c r="AJ105" s="114" t="str">
        <f>IF(NOT(ISBLANK(Audit[[#This Row],[Audit Candidate 6]])), Audit[[#This Row],[Audit Candidate 6]]-Audit[[#This Row],[Candidate 6]], "")</f>
        <v/>
      </c>
      <c r="AK105" s="114" t="str">
        <f>IF(NOT(ISBLANK(Audit[[#This Row],[Audit Candidate 7]])), Audit[[#This Row],[Audit Candidate 7]]-Audit[[#This Row],[Candidate 7]], "")</f>
        <v/>
      </c>
      <c r="AL105" s="114" t="str">
        <f>IF(NOT(ISBLANK(Audit[[#This Row],[Audit Candidate 8]])), Audit[[#This Row],[Audit Candidate 8]]-Audit[[#This Row],[Candidate 8]], "")</f>
        <v/>
      </c>
      <c r="AM105" s="114" t="str">
        <f>IF(NOT(ISBLANK(Audit[[#This Row],[Audit Candidate 9]])), Audit[[#This Row],[Audit Candidate 9]]-Audit[[#This Row],[Candidate 9]], "")</f>
        <v/>
      </c>
      <c r="AN105" s="114" t="str">
        <f>IF(NOT(ISBLANK(Audit[[#This Row],[Audit Candidate 10]])), Audit[[#This Row],[Audit Candidate 10]]-Audit[[#This Row],[Candidate 10]], "")</f>
        <v/>
      </c>
      <c r="AO105" s="114" t="str">
        <f>IF(NOT(ISBLANK(Audit[[#This Row],[Audit Candidate 11]])), Audit[[#This Row],[Audit Candidate 11]]-Audit[[#This Row],[Candidate 11]], "")</f>
        <v/>
      </c>
      <c r="AP105" s="114" t="str">
        <f>IF(NOT(ISBLANK(Audit[[#This Row],[Audit Candidate 12]])), Audit[[#This Row],[Audit Candidate 12]]-Audit[[#This Row],[Candidate 12]], "")</f>
        <v/>
      </c>
      <c r="AQ105" s="114">
        <f>SUMIF(Audit[[#This Row],[Difference Winner]:[Difference Candidate 12]], "&gt;0")</f>
        <v>0</v>
      </c>
      <c r="AR105" s="114">
        <f>SUM(Audit[[#This Row],[Difference Winner]:[Difference Candidate 12]])</f>
        <v>0</v>
      </c>
      <c r="AS105" s="114">
        <f>IF(Audit[[#This Row],[Times p Drawn - With Replacement]]&gt;0, IF(Audit[[#This Row],[Canceled Differences]]&lt;0, Audit[[#This Row],[Max Differences]]+ABS(Audit[[#This Row],[Canceled Differences]]), Audit[[#This Row],[Max Differences]]), 0)</f>
        <v>0</v>
      </c>
      <c r="AT105" s="114">
        <f>'Sampling Data'!AB105</f>
        <v>5.0565703811389926E-3</v>
      </c>
      <c r="AU105" s="114">
        <f>IF(
      SUM(Audit[[#This Row],[Audit Losing Candidate]:[Audit Candidate 12]])
      &lt;&gt;0,
      (Audit[[#This Row],[Winning Candidate]]-Audit[[#This Row],[Losing Candidate]]-(Audit[[#This Row],[Audit Winning Candidate]]-Audit[[#This Row],[Audit Losing Candidate]]))/(Audit[[#Totals],[Winning Candidate]]-Audit[[#Totals],[Losing Candidate]]),
      0
)</f>
        <v>0</v>
      </c>
      <c r="AV1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5" s="114">
        <f>IF(Audit[[#This Row],[Max Relative Error (ep)]] = 0, 0, Audit[[#This Row],[Max Relative Error (ep)]]/Audit[[#This Row],[Error Bound (up) - Max. possible relative overstatement]])</f>
        <v>0</v>
      </c>
      <c r="BH1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5" s="114">
        <f t="shared" si="2"/>
        <v>1</v>
      </c>
      <c r="BJ105" s="114">
        <f>PRODUCT($BI$5:BI105)</f>
        <v>0.20973752198051165</v>
      </c>
      <c r="BK105" s="112">
        <f>1 - Audit[[#This Row],[K-M P Value]]</f>
        <v>0.79026247801948835</v>
      </c>
      <c r="BL105" s="114" t="str">
        <f>IF(Audit[[#This Row],[K-M P Value]]&gt;1-'General Info'!$B$12,"Continue", "Stop")</f>
        <v>Continue</v>
      </c>
      <c r="BM105" s="113" t="b">
        <f>IF(Audit[[#This Row],[Status - Continue or stop audit]] = "Continue", TRUE, IF(BL104 = "Continue", TRUE, FALSE))</f>
        <v>1</v>
      </c>
      <c r="BN105" s="113"/>
    </row>
    <row r="106" spans="1:66" ht="15" hidden="1" customHeight="1" x14ac:dyDescent="0.35">
      <c r="A106" s="114" t="str">
        <f>'Sampling Data'!AI106</f>
        <v/>
      </c>
      <c r="B106" s="114" t="str">
        <f>'Sampling Data'!A106</f>
        <v>1503 CIN 15-C   (AV)</v>
      </c>
      <c r="C106" s="114">
        <f>'Sampling Data'!B106</f>
        <v>11</v>
      </c>
      <c r="D106" s="114">
        <f>'Sampling Data'!C106</f>
        <v>1</v>
      </c>
      <c r="E106" s="115">
        <f>'Sampling Data'!D106</f>
        <v>0</v>
      </c>
      <c r="F106" s="115">
        <f>'Sampling Data'!E106</f>
        <v>0</v>
      </c>
      <c r="G106" s="115">
        <f>'Sampling Data'!F106</f>
        <v>0</v>
      </c>
      <c r="H106" s="115">
        <f>'Sampling Data'!G106</f>
        <v>0</v>
      </c>
      <c r="I106" s="115">
        <f>'Sampling Data'!H106</f>
        <v>0</v>
      </c>
      <c r="J106" s="115">
        <f>'Sampling Data'!I106</f>
        <v>0</v>
      </c>
      <c r="K106" s="115">
        <f>'Sampling Data'!J106</f>
        <v>0</v>
      </c>
      <c r="L106" s="115">
        <f>'Sampling Data'!K106</f>
        <v>0</v>
      </c>
      <c r="M106" s="115">
        <f>'Sampling Data'!L106</f>
        <v>0</v>
      </c>
      <c r="N106" s="115">
        <f>'Sampling Data'!M106</f>
        <v>0</v>
      </c>
      <c r="O106" s="114">
        <f>'Sampling Data'!N106</f>
        <v>0</v>
      </c>
      <c r="P106" s="114">
        <f>'Sampling Data'!O106</f>
        <v>0</v>
      </c>
      <c r="Q106" s="114">
        <f>'Sampling Data'!P106</f>
        <v>12</v>
      </c>
      <c r="R106" s="114">
        <f>'Sampling Data'!AJ106</f>
        <v>0</v>
      </c>
      <c r="S106" s="116"/>
      <c r="T106" s="116"/>
      <c r="U106" s="117"/>
      <c r="V106" s="117"/>
      <c r="W106" s="116"/>
      <c r="X106" s="116"/>
      <c r="Y106" s="116"/>
      <c r="Z106" s="116"/>
      <c r="AA106" s="15"/>
      <c r="AB106" s="15"/>
      <c r="AC106" s="15"/>
      <c r="AD106" s="15"/>
      <c r="AE106" s="118" t="str">
        <f>IF(NOT(ISBLANK(Audit[[#This Row],[Audit Winning Candidate]])), Audit[[#This Row],[Audit Winning Candidate]]-Audit[[#This Row],[Winning Candidate]], "")</f>
        <v/>
      </c>
      <c r="AF106" s="114" t="str">
        <f>IF(NOT(ISBLANK(Audit[[#This Row],[Audit Losing Candidate]])), Audit[[#This Row],[Audit Losing Candidate]]-Audit[[#This Row],[Losing Candidate]], "")</f>
        <v/>
      </c>
      <c r="AG106" s="114" t="str">
        <f>IF(NOT(ISBLANK(Audit[[#This Row],[Audit Candidate 3]])), Audit[[#This Row],[Audit Candidate 3]]-Audit[[#This Row],[Candidate 3]], "")</f>
        <v/>
      </c>
      <c r="AH106" s="114" t="str">
        <f>IF(NOT(ISBLANK(Audit[[#This Row],[Audit Candidate 4]])),Audit[[#This Row],[Audit Candidate 4]]-Audit[[#This Row],[Candidate 4]], "")</f>
        <v/>
      </c>
      <c r="AI106" s="114" t="str">
        <f>IF(NOT(ISBLANK(Audit[[#This Row],[Audit Candidate 5]])), Audit[[#This Row],[Audit Candidate 5]]-Audit[[#This Row],[Candidate 5]], "")</f>
        <v/>
      </c>
      <c r="AJ106" s="114" t="str">
        <f>IF(NOT(ISBLANK(Audit[[#This Row],[Audit Candidate 6]])), Audit[[#This Row],[Audit Candidate 6]]-Audit[[#This Row],[Candidate 6]], "")</f>
        <v/>
      </c>
      <c r="AK106" s="114" t="str">
        <f>IF(NOT(ISBLANK(Audit[[#This Row],[Audit Candidate 7]])), Audit[[#This Row],[Audit Candidate 7]]-Audit[[#This Row],[Candidate 7]], "")</f>
        <v/>
      </c>
      <c r="AL106" s="114" t="str">
        <f>IF(NOT(ISBLANK(Audit[[#This Row],[Audit Candidate 8]])), Audit[[#This Row],[Audit Candidate 8]]-Audit[[#This Row],[Candidate 8]], "")</f>
        <v/>
      </c>
      <c r="AM106" s="114" t="str">
        <f>IF(NOT(ISBLANK(Audit[[#This Row],[Audit Candidate 9]])), Audit[[#This Row],[Audit Candidate 9]]-Audit[[#This Row],[Candidate 9]], "")</f>
        <v/>
      </c>
      <c r="AN106" s="114" t="str">
        <f>IF(NOT(ISBLANK(Audit[[#This Row],[Audit Candidate 10]])), Audit[[#This Row],[Audit Candidate 10]]-Audit[[#This Row],[Candidate 10]], "")</f>
        <v/>
      </c>
      <c r="AO106" s="114" t="str">
        <f>IF(NOT(ISBLANK(Audit[[#This Row],[Audit Candidate 11]])), Audit[[#This Row],[Audit Candidate 11]]-Audit[[#This Row],[Candidate 11]], "")</f>
        <v/>
      </c>
      <c r="AP106" s="114" t="str">
        <f>IF(NOT(ISBLANK(Audit[[#This Row],[Audit Candidate 12]])), Audit[[#This Row],[Audit Candidate 12]]-Audit[[#This Row],[Candidate 12]], "")</f>
        <v/>
      </c>
      <c r="AQ106" s="114">
        <f>SUMIF(Audit[[#This Row],[Difference Winner]:[Difference Candidate 12]], "&gt;0")</f>
        <v>0</v>
      </c>
      <c r="AR106" s="114">
        <f>SUM(Audit[[#This Row],[Difference Winner]:[Difference Candidate 12]])</f>
        <v>0</v>
      </c>
      <c r="AS106" s="114">
        <f>IF(Audit[[#This Row],[Times p Drawn - With Replacement]]&gt;0, IF(Audit[[#This Row],[Canceled Differences]]&lt;0, Audit[[#This Row],[Max Differences]]+ABS(Audit[[#This Row],[Canceled Differences]]), Audit[[#This Row],[Max Differences]]), 0)</f>
        <v>0</v>
      </c>
      <c r="AT106" s="114">
        <f>'Sampling Data'!AB106</f>
        <v>1.3905568548132229E-3</v>
      </c>
      <c r="AU106" s="114">
        <f>IF(
      SUM(Audit[[#This Row],[Audit Losing Candidate]:[Audit Candidate 12]])
      &lt;&gt;0,
      (Audit[[#This Row],[Winning Candidate]]-Audit[[#This Row],[Losing Candidate]]-(Audit[[#This Row],[Audit Winning Candidate]]-Audit[[#This Row],[Audit Losing Candidate]]))/(Audit[[#Totals],[Winning Candidate]]-Audit[[#Totals],[Losing Candidate]]),
      0
)</f>
        <v>0</v>
      </c>
      <c r="AV1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6" s="114">
        <f>IF(Audit[[#This Row],[Max Relative Error (ep)]] = 0, 0, Audit[[#This Row],[Max Relative Error (ep)]]/Audit[[#This Row],[Error Bound (up) - Max. possible relative overstatement]])</f>
        <v>0</v>
      </c>
      <c r="BH1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6" s="114">
        <f t="shared" si="2"/>
        <v>1</v>
      </c>
      <c r="BJ106" s="114">
        <f>PRODUCT($BI$5:BI106)</f>
        <v>0.20973752198051165</v>
      </c>
      <c r="BK106" s="112">
        <f>1 - Audit[[#This Row],[K-M P Value]]</f>
        <v>0.79026247801948835</v>
      </c>
      <c r="BL106" s="114" t="str">
        <f>IF(Audit[[#This Row],[K-M P Value]]&gt;1-'General Info'!$B$12,"Continue", "Stop")</f>
        <v>Continue</v>
      </c>
      <c r="BM106" s="113" t="b">
        <f>IF(Audit[[#This Row],[Status - Continue or stop audit]] = "Continue", TRUE, IF(BL105 = "Continue", TRUE, FALSE))</f>
        <v>1</v>
      </c>
      <c r="BN106" s="113"/>
    </row>
    <row r="107" spans="1:66" ht="15" hidden="1" customHeight="1" x14ac:dyDescent="0.35">
      <c r="A107" s="114" t="str">
        <f>'Sampling Data'!AI107</f>
        <v/>
      </c>
      <c r="B107" s="114" t="str">
        <f>'Sampling Data'!A107</f>
        <v>1504 CIN 15-D   (AV)</v>
      </c>
      <c r="C107" s="114">
        <f>'Sampling Data'!B107</f>
        <v>23</v>
      </c>
      <c r="D107" s="114">
        <f>'Sampling Data'!C107</f>
        <v>2</v>
      </c>
      <c r="E107" s="115">
        <f>'Sampling Data'!D107</f>
        <v>2</v>
      </c>
      <c r="F107" s="115">
        <f>'Sampling Data'!E107</f>
        <v>0</v>
      </c>
      <c r="G107" s="115">
        <f>'Sampling Data'!F107</f>
        <v>0</v>
      </c>
      <c r="H107" s="115">
        <f>'Sampling Data'!G107</f>
        <v>0</v>
      </c>
      <c r="I107" s="115">
        <f>'Sampling Data'!H107</f>
        <v>0</v>
      </c>
      <c r="J107" s="115">
        <f>'Sampling Data'!I107</f>
        <v>0</v>
      </c>
      <c r="K107" s="115">
        <f>'Sampling Data'!J107</f>
        <v>0</v>
      </c>
      <c r="L107" s="115">
        <f>'Sampling Data'!K107</f>
        <v>0</v>
      </c>
      <c r="M107" s="115">
        <f>'Sampling Data'!L107</f>
        <v>0</v>
      </c>
      <c r="N107" s="115">
        <f>'Sampling Data'!M107</f>
        <v>0</v>
      </c>
      <c r="O107" s="114">
        <f>'Sampling Data'!N107</f>
        <v>1</v>
      </c>
      <c r="P107" s="114">
        <f>'Sampling Data'!O107</f>
        <v>1</v>
      </c>
      <c r="Q107" s="114">
        <f>'Sampling Data'!P107</f>
        <v>29</v>
      </c>
      <c r="R107" s="114">
        <f>'Sampling Data'!AJ107</f>
        <v>0</v>
      </c>
      <c r="S107" s="116"/>
      <c r="T107" s="116"/>
      <c r="U107" s="117"/>
      <c r="V107" s="117"/>
      <c r="W107" s="116"/>
      <c r="X107" s="116"/>
      <c r="Y107" s="116"/>
      <c r="Z107" s="116"/>
      <c r="AA107" s="15"/>
      <c r="AB107" s="15"/>
      <c r="AC107" s="15"/>
      <c r="AD107" s="15"/>
      <c r="AE107" s="118" t="str">
        <f>IF(NOT(ISBLANK(Audit[[#This Row],[Audit Winning Candidate]])), Audit[[#This Row],[Audit Winning Candidate]]-Audit[[#This Row],[Winning Candidate]], "")</f>
        <v/>
      </c>
      <c r="AF107" s="114" t="str">
        <f>IF(NOT(ISBLANK(Audit[[#This Row],[Audit Losing Candidate]])), Audit[[#This Row],[Audit Losing Candidate]]-Audit[[#This Row],[Losing Candidate]], "")</f>
        <v/>
      </c>
      <c r="AG107" s="114" t="str">
        <f>IF(NOT(ISBLANK(Audit[[#This Row],[Audit Candidate 3]])), Audit[[#This Row],[Audit Candidate 3]]-Audit[[#This Row],[Candidate 3]], "")</f>
        <v/>
      </c>
      <c r="AH107" s="114" t="str">
        <f>IF(NOT(ISBLANK(Audit[[#This Row],[Audit Candidate 4]])),Audit[[#This Row],[Audit Candidate 4]]-Audit[[#This Row],[Candidate 4]], "")</f>
        <v/>
      </c>
      <c r="AI107" s="114" t="str">
        <f>IF(NOT(ISBLANK(Audit[[#This Row],[Audit Candidate 5]])), Audit[[#This Row],[Audit Candidate 5]]-Audit[[#This Row],[Candidate 5]], "")</f>
        <v/>
      </c>
      <c r="AJ107" s="114" t="str">
        <f>IF(NOT(ISBLANK(Audit[[#This Row],[Audit Candidate 6]])), Audit[[#This Row],[Audit Candidate 6]]-Audit[[#This Row],[Candidate 6]], "")</f>
        <v/>
      </c>
      <c r="AK107" s="114" t="str">
        <f>IF(NOT(ISBLANK(Audit[[#This Row],[Audit Candidate 7]])), Audit[[#This Row],[Audit Candidate 7]]-Audit[[#This Row],[Candidate 7]], "")</f>
        <v/>
      </c>
      <c r="AL107" s="114" t="str">
        <f>IF(NOT(ISBLANK(Audit[[#This Row],[Audit Candidate 8]])), Audit[[#This Row],[Audit Candidate 8]]-Audit[[#This Row],[Candidate 8]], "")</f>
        <v/>
      </c>
      <c r="AM107" s="114" t="str">
        <f>IF(NOT(ISBLANK(Audit[[#This Row],[Audit Candidate 9]])), Audit[[#This Row],[Audit Candidate 9]]-Audit[[#This Row],[Candidate 9]], "")</f>
        <v/>
      </c>
      <c r="AN107" s="114" t="str">
        <f>IF(NOT(ISBLANK(Audit[[#This Row],[Audit Candidate 10]])), Audit[[#This Row],[Audit Candidate 10]]-Audit[[#This Row],[Candidate 10]], "")</f>
        <v/>
      </c>
      <c r="AO107" s="114" t="str">
        <f>IF(NOT(ISBLANK(Audit[[#This Row],[Audit Candidate 11]])), Audit[[#This Row],[Audit Candidate 11]]-Audit[[#This Row],[Candidate 11]], "")</f>
        <v/>
      </c>
      <c r="AP107" s="114" t="str">
        <f>IF(NOT(ISBLANK(Audit[[#This Row],[Audit Candidate 12]])), Audit[[#This Row],[Audit Candidate 12]]-Audit[[#This Row],[Candidate 12]], "")</f>
        <v/>
      </c>
      <c r="AQ107" s="114">
        <f>SUMIF(Audit[[#This Row],[Difference Winner]:[Difference Candidate 12]], "&gt;0")</f>
        <v>0</v>
      </c>
      <c r="AR107" s="114">
        <f>SUM(Audit[[#This Row],[Difference Winner]:[Difference Candidate 12]])</f>
        <v>0</v>
      </c>
      <c r="AS107" s="114">
        <f>IF(Audit[[#This Row],[Times p Drawn - With Replacement]]&gt;0, IF(Audit[[#This Row],[Canceled Differences]]&lt;0, Audit[[#This Row],[Max Differences]]+ABS(Audit[[#This Row],[Canceled Differences]]), Audit[[#This Row],[Max Differences]]), 0)</f>
        <v>0</v>
      </c>
      <c r="AT107" s="114">
        <f>'Sampling Data'!AB107</f>
        <v>3.1603564882118703E-3</v>
      </c>
      <c r="AU107" s="114">
        <f>IF(
      SUM(Audit[[#This Row],[Audit Losing Candidate]:[Audit Candidate 12]])
      &lt;&gt;0,
      (Audit[[#This Row],[Winning Candidate]]-Audit[[#This Row],[Losing Candidate]]-(Audit[[#This Row],[Audit Winning Candidate]]-Audit[[#This Row],[Audit Losing Candidate]]))/(Audit[[#Totals],[Winning Candidate]]-Audit[[#Totals],[Losing Candidate]]),
      0
)</f>
        <v>0</v>
      </c>
      <c r="AV1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7" s="114">
        <f>IF(Audit[[#This Row],[Max Relative Error (ep)]] = 0, 0, Audit[[#This Row],[Max Relative Error (ep)]]/Audit[[#This Row],[Error Bound (up) - Max. possible relative overstatement]])</f>
        <v>0</v>
      </c>
      <c r="BH1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7" s="114">
        <f t="shared" si="2"/>
        <v>1</v>
      </c>
      <c r="BJ107" s="114">
        <f>PRODUCT($BI$5:BI107)</f>
        <v>0.20973752198051165</v>
      </c>
      <c r="BK107" s="112">
        <f>1 - Audit[[#This Row],[K-M P Value]]</f>
        <v>0.79026247801948835</v>
      </c>
      <c r="BL107" s="114" t="str">
        <f>IF(Audit[[#This Row],[K-M P Value]]&gt;1-'General Info'!$B$12,"Continue", "Stop")</f>
        <v>Continue</v>
      </c>
      <c r="BM107" s="113" t="b">
        <f>IF(Audit[[#This Row],[Status - Continue or stop audit]] = "Continue", TRUE, IF(BL106 = "Continue", TRUE, FALSE))</f>
        <v>1</v>
      </c>
      <c r="BN107" s="113"/>
    </row>
    <row r="108" spans="1:66" ht="15" hidden="1" customHeight="1" x14ac:dyDescent="0.35">
      <c r="A108" s="114" t="str">
        <f>'Sampling Data'!AI108</f>
        <v/>
      </c>
      <c r="B108" s="114" t="str">
        <f>'Sampling Data'!A108</f>
        <v>1505 CIN 15-E   (AV)</v>
      </c>
      <c r="C108" s="114">
        <f>'Sampling Data'!B108</f>
        <v>27</v>
      </c>
      <c r="D108" s="114">
        <f>'Sampling Data'!C108</f>
        <v>0</v>
      </c>
      <c r="E108" s="115">
        <f>'Sampling Data'!D108</f>
        <v>0</v>
      </c>
      <c r="F108" s="115">
        <f>'Sampling Data'!E108</f>
        <v>0</v>
      </c>
      <c r="G108" s="115">
        <f>'Sampling Data'!F108</f>
        <v>0</v>
      </c>
      <c r="H108" s="115">
        <f>'Sampling Data'!G108</f>
        <v>0</v>
      </c>
      <c r="I108" s="115">
        <f>'Sampling Data'!H108</f>
        <v>0</v>
      </c>
      <c r="J108" s="115">
        <f>'Sampling Data'!I108</f>
        <v>0</v>
      </c>
      <c r="K108" s="115">
        <f>'Sampling Data'!J108</f>
        <v>0</v>
      </c>
      <c r="L108" s="115">
        <f>'Sampling Data'!K108</f>
        <v>0</v>
      </c>
      <c r="M108" s="115">
        <f>'Sampling Data'!L108</f>
        <v>0</v>
      </c>
      <c r="N108" s="115">
        <f>'Sampling Data'!M108</f>
        <v>0</v>
      </c>
      <c r="O108" s="114">
        <f>'Sampling Data'!N108</f>
        <v>1</v>
      </c>
      <c r="P108" s="114">
        <f>'Sampling Data'!O108</f>
        <v>0</v>
      </c>
      <c r="Q108" s="114">
        <f>'Sampling Data'!P108</f>
        <v>28</v>
      </c>
      <c r="R108" s="114">
        <f>'Sampling Data'!AJ108</f>
        <v>0</v>
      </c>
      <c r="S108" s="116"/>
      <c r="T108" s="116"/>
      <c r="U108" s="117"/>
      <c r="V108" s="117"/>
      <c r="W108" s="116"/>
      <c r="X108" s="116"/>
      <c r="Y108" s="116"/>
      <c r="Z108" s="116"/>
      <c r="AA108" s="15"/>
      <c r="AB108" s="15"/>
      <c r="AC108" s="15"/>
      <c r="AD108" s="15"/>
      <c r="AE108" s="118" t="str">
        <f>IF(NOT(ISBLANK(Audit[[#This Row],[Audit Winning Candidate]])), Audit[[#This Row],[Audit Winning Candidate]]-Audit[[#This Row],[Winning Candidate]], "")</f>
        <v/>
      </c>
      <c r="AF108" s="114" t="str">
        <f>IF(NOT(ISBLANK(Audit[[#This Row],[Audit Losing Candidate]])), Audit[[#This Row],[Audit Losing Candidate]]-Audit[[#This Row],[Losing Candidate]], "")</f>
        <v/>
      </c>
      <c r="AG108" s="114" t="str">
        <f>IF(NOT(ISBLANK(Audit[[#This Row],[Audit Candidate 3]])), Audit[[#This Row],[Audit Candidate 3]]-Audit[[#This Row],[Candidate 3]], "")</f>
        <v/>
      </c>
      <c r="AH108" s="114" t="str">
        <f>IF(NOT(ISBLANK(Audit[[#This Row],[Audit Candidate 4]])),Audit[[#This Row],[Audit Candidate 4]]-Audit[[#This Row],[Candidate 4]], "")</f>
        <v/>
      </c>
      <c r="AI108" s="114" t="str">
        <f>IF(NOT(ISBLANK(Audit[[#This Row],[Audit Candidate 5]])), Audit[[#This Row],[Audit Candidate 5]]-Audit[[#This Row],[Candidate 5]], "")</f>
        <v/>
      </c>
      <c r="AJ108" s="114" t="str">
        <f>IF(NOT(ISBLANK(Audit[[#This Row],[Audit Candidate 6]])), Audit[[#This Row],[Audit Candidate 6]]-Audit[[#This Row],[Candidate 6]], "")</f>
        <v/>
      </c>
      <c r="AK108" s="114" t="str">
        <f>IF(NOT(ISBLANK(Audit[[#This Row],[Audit Candidate 7]])), Audit[[#This Row],[Audit Candidate 7]]-Audit[[#This Row],[Candidate 7]], "")</f>
        <v/>
      </c>
      <c r="AL108" s="114" t="str">
        <f>IF(NOT(ISBLANK(Audit[[#This Row],[Audit Candidate 8]])), Audit[[#This Row],[Audit Candidate 8]]-Audit[[#This Row],[Candidate 8]], "")</f>
        <v/>
      </c>
      <c r="AM108" s="114" t="str">
        <f>IF(NOT(ISBLANK(Audit[[#This Row],[Audit Candidate 9]])), Audit[[#This Row],[Audit Candidate 9]]-Audit[[#This Row],[Candidate 9]], "")</f>
        <v/>
      </c>
      <c r="AN108" s="114" t="str">
        <f>IF(NOT(ISBLANK(Audit[[#This Row],[Audit Candidate 10]])), Audit[[#This Row],[Audit Candidate 10]]-Audit[[#This Row],[Candidate 10]], "")</f>
        <v/>
      </c>
      <c r="AO108" s="114" t="str">
        <f>IF(NOT(ISBLANK(Audit[[#This Row],[Audit Candidate 11]])), Audit[[#This Row],[Audit Candidate 11]]-Audit[[#This Row],[Candidate 11]], "")</f>
        <v/>
      </c>
      <c r="AP108" s="114" t="str">
        <f>IF(NOT(ISBLANK(Audit[[#This Row],[Audit Candidate 12]])), Audit[[#This Row],[Audit Candidate 12]]-Audit[[#This Row],[Candidate 12]], "")</f>
        <v/>
      </c>
      <c r="AQ108" s="114">
        <f>SUMIF(Audit[[#This Row],[Difference Winner]:[Difference Candidate 12]], "&gt;0")</f>
        <v>0</v>
      </c>
      <c r="AR108" s="114">
        <f>SUM(Audit[[#This Row],[Difference Winner]:[Difference Candidate 12]])</f>
        <v>0</v>
      </c>
      <c r="AS108" s="114">
        <f>IF(Audit[[#This Row],[Times p Drawn - With Replacement]]&gt;0, IF(Audit[[#This Row],[Canceled Differences]]&lt;0, Audit[[#This Row],[Max Differences]]+ABS(Audit[[#This Row],[Canceled Differences]]), Audit[[#This Row],[Max Differences]]), 0)</f>
        <v>0</v>
      </c>
      <c r="AT108" s="114">
        <f>'Sampling Data'!AB108</f>
        <v>3.4763921370330572E-3</v>
      </c>
      <c r="AU108" s="114">
        <f>IF(
      SUM(Audit[[#This Row],[Audit Losing Candidate]:[Audit Candidate 12]])
      &lt;&gt;0,
      (Audit[[#This Row],[Winning Candidate]]-Audit[[#This Row],[Losing Candidate]]-(Audit[[#This Row],[Audit Winning Candidate]]-Audit[[#This Row],[Audit Losing Candidate]]))/(Audit[[#Totals],[Winning Candidate]]-Audit[[#Totals],[Losing Candidate]]),
      0
)</f>
        <v>0</v>
      </c>
      <c r="AV1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8" s="114">
        <f>IF(Audit[[#This Row],[Max Relative Error (ep)]] = 0, 0, Audit[[#This Row],[Max Relative Error (ep)]]/Audit[[#This Row],[Error Bound (up) - Max. possible relative overstatement]])</f>
        <v>0</v>
      </c>
      <c r="BH1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8" s="114">
        <f t="shared" si="2"/>
        <v>1</v>
      </c>
      <c r="BJ108" s="114">
        <f>PRODUCT($BI$5:BI108)</f>
        <v>0.20973752198051165</v>
      </c>
      <c r="BK108" s="112">
        <f>1 - Audit[[#This Row],[K-M P Value]]</f>
        <v>0.79026247801948835</v>
      </c>
      <c r="BL108" s="114" t="str">
        <f>IF(Audit[[#This Row],[K-M P Value]]&gt;1-'General Info'!$B$12,"Continue", "Stop")</f>
        <v>Continue</v>
      </c>
      <c r="BM108" s="113" t="b">
        <f>IF(Audit[[#This Row],[Status - Continue or stop audit]] = "Continue", TRUE, IF(BL107 = "Continue", TRUE, FALSE))</f>
        <v>1</v>
      </c>
      <c r="BN108" s="113"/>
    </row>
    <row r="109" spans="1:66" ht="15" hidden="1" customHeight="1" x14ac:dyDescent="0.35">
      <c r="A109" s="114" t="str">
        <f>'Sampling Data'!AI109</f>
        <v/>
      </c>
      <c r="B109" s="114" t="str">
        <f>'Sampling Data'!A109</f>
        <v>1506 CIN 15-F   (AV)</v>
      </c>
      <c r="C109" s="114">
        <f>'Sampling Data'!B109</f>
        <v>36</v>
      </c>
      <c r="D109" s="114">
        <f>'Sampling Data'!C109</f>
        <v>1</v>
      </c>
      <c r="E109" s="115">
        <f>'Sampling Data'!D109</f>
        <v>0</v>
      </c>
      <c r="F109" s="115">
        <f>'Sampling Data'!E109</f>
        <v>0</v>
      </c>
      <c r="G109" s="115">
        <f>'Sampling Data'!F109</f>
        <v>0</v>
      </c>
      <c r="H109" s="115">
        <f>'Sampling Data'!G109</f>
        <v>0</v>
      </c>
      <c r="I109" s="115">
        <f>'Sampling Data'!H109</f>
        <v>0</v>
      </c>
      <c r="J109" s="115">
        <f>'Sampling Data'!I109</f>
        <v>0</v>
      </c>
      <c r="K109" s="115">
        <f>'Sampling Data'!J109</f>
        <v>0</v>
      </c>
      <c r="L109" s="115">
        <f>'Sampling Data'!K109</f>
        <v>0</v>
      </c>
      <c r="M109" s="115">
        <f>'Sampling Data'!L109</f>
        <v>0</v>
      </c>
      <c r="N109" s="115">
        <f>'Sampling Data'!M109</f>
        <v>0</v>
      </c>
      <c r="O109" s="114">
        <f>'Sampling Data'!N109</f>
        <v>0</v>
      </c>
      <c r="P109" s="114">
        <f>'Sampling Data'!O109</f>
        <v>0</v>
      </c>
      <c r="Q109" s="114">
        <f>'Sampling Data'!P109</f>
        <v>37</v>
      </c>
      <c r="R109" s="114">
        <f>'Sampling Data'!AJ109</f>
        <v>0</v>
      </c>
      <c r="S109" s="116"/>
      <c r="T109" s="116"/>
      <c r="U109" s="117"/>
      <c r="V109" s="117"/>
      <c r="W109" s="116"/>
      <c r="X109" s="116"/>
      <c r="Y109" s="116"/>
      <c r="Z109" s="116"/>
      <c r="AA109" s="15"/>
      <c r="AB109" s="15"/>
      <c r="AC109" s="15"/>
      <c r="AD109" s="15"/>
      <c r="AE109" s="118" t="str">
        <f>IF(NOT(ISBLANK(Audit[[#This Row],[Audit Winning Candidate]])), Audit[[#This Row],[Audit Winning Candidate]]-Audit[[#This Row],[Winning Candidate]], "")</f>
        <v/>
      </c>
      <c r="AF109" s="114" t="str">
        <f>IF(NOT(ISBLANK(Audit[[#This Row],[Audit Losing Candidate]])), Audit[[#This Row],[Audit Losing Candidate]]-Audit[[#This Row],[Losing Candidate]], "")</f>
        <v/>
      </c>
      <c r="AG109" s="114" t="str">
        <f>IF(NOT(ISBLANK(Audit[[#This Row],[Audit Candidate 3]])), Audit[[#This Row],[Audit Candidate 3]]-Audit[[#This Row],[Candidate 3]], "")</f>
        <v/>
      </c>
      <c r="AH109" s="114" t="str">
        <f>IF(NOT(ISBLANK(Audit[[#This Row],[Audit Candidate 4]])),Audit[[#This Row],[Audit Candidate 4]]-Audit[[#This Row],[Candidate 4]], "")</f>
        <v/>
      </c>
      <c r="AI109" s="114" t="str">
        <f>IF(NOT(ISBLANK(Audit[[#This Row],[Audit Candidate 5]])), Audit[[#This Row],[Audit Candidate 5]]-Audit[[#This Row],[Candidate 5]], "")</f>
        <v/>
      </c>
      <c r="AJ109" s="114" t="str">
        <f>IF(NOT(ISBLANK(Audit[[#This Row],[Audit Candidate 6]])), Audit[[#This Row],[Audit Candidate 6]]-Audit[[#This Row],[Candidate 6]], "")</f>
        <v/>
      </c>
      <c r="AK109" s="114" t="str">
        <f>IF(NOT(ISBLANK(Audit[[#This Row],[Audit Candidate 7]])), Audit[[#This Row],[Audit Candidate 7]]-Audit[[#This Row],[Candidate 7]], "")</f>
        <v/>
      </c>
      <c r="AL109" s="114" t="str">
        <f>IF(NOT(ISBLANK(Audit[[#This Row],[Audit Candidate 8]])), Audit[[#This Row],[Audit Candidate 8]]-Audit[[#This Row],[Candidate 8]], "")</f>
        <v/>
      </c>
      <c r="AM109" s="114" t="str">
        <f>IF(NOT(ISBLANK(Audit[[#This Row],[Audit Candidate 9]])), Audit[[#This Row],[Audit Candidate 9]]-Audit[[#This Row],[Candidate 9]], "")</f>
        <v/>
      </c>
      <c r="AN109" s="114" t="str">
        <f>IF(NOT(ISBLANK(Audit[[#This Row],[Audit Candidate 10]])), Audit[[#This Row],[Audit Candidate 10]]-Audit[[#This Row],[Candidate 10]], "")</f>
        <v/>
      </c>
      <c r="AO109" s="114" t="str">
        <f>IF(NOT(ISBLANK(Audit[[#This Row],[Audit Candidate 11]])), Audit[[#This Row],[Audit Candidate 11]]-Audit[[#This Row],[Candidate 11]], "")</f>
        <v/>
      </c>
      <c r="AP109" s="114" t="str">
        <f>IF(NOT(ISBLANK(Audit[[#This Row],[Audit Candidate 12]])), Audit[[#This Row],[Audit Candidate 12]]-Audit[[#This Row],[Candidate 12]], "")</f>
        <v/>
      </c>
      <c r="AQ109" s="114">
        <f>SUMIF(Audit[[#This Row],[Difference Winner]:[Difference Candidate 12]], "&gt;0")</f>
        <v>0</v>
      </c>
      <c r="AR109" s="114">
        <f>SUM(Audit[[#This Row],[Difference Winner]:[Difference Candidate 12]])</f>
        <v>0</v>
      </c>
      <c r="AS109" s="114">
        <f>IF(Audit[[#This Row],[Times p Drawn - With Replacement]]&gt;0, IF(Audit[[#This Row],[Canceled Differences]]&lt;0, Audit[[#This Row],[Max Differences]]+ABS(Audit[[#This Row],[Canceled Differences]]), Audit[[#This Row],[Max Differences]]), 0)</f>
        <v>0</v>
      </c>
      <c r="AT109" s="114">
        <f>'Sampling Data'!AB109</f>
        <v>4.5509133430250929E-3</v>
      </c>
      <c r="AU109" s="114">
        <f>IF(
      SUM(Audit[[#This Row],[Audit Losing Candidate]:[Audit Candidate 12]])
      &lt;&gt;0,
      (Audit[[#This Row],[Winning Candidate]]-Audit[[#This Row],[Losing Candidate]]-(Audit[[#This Row],[Audit Winning Candidate]]-Audit[[#This Row],[Audit Losing Candidate]]))/(Audit[[#Totals],[Winning Candidate]]-Audit[[#Totals],[Losing Candidate]]),
      0
)</f>
        <v>0</v>
      </c>
      <c r="AV1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9" s="114">
        <f>IF(Audit[[#This Row],[Max Relative Error (ep)]] = 0, 0, Audit[[#This Row],[Max Relative Error (ep)]]/Audit[[#This Row],[Error Bound (up) - Max. possible relative overstatement]])</f>
        <v>0</v>
      </c>
      <c r="BH1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09" s="114">
        <f t="shared" si="2"/>
        <v>1</v>
      </c>
      <c r="BJ109" s="114">
        <f>PRODUCT($BI$5:BI109)</f>
        <v>0.20973752198051165</v>
      </c>
      <c r="BK109" s="112">
        <f>1 - Audit[[#This Row],[K-M P Value]]</f>
        <v>0.79026247801948835</v>
      </c>
      <c r="BL109" s="114" t="str">
        <f>IF(Audit[[#This Row],[K-M P Value]]&gt;1-'General Info'!$B$12,"Continue", "Stop")</f>
        <v>Continue</v>
      </c>
      <c r="BM109" s="113" t="b">
        <f>IF(Audit[[#This Row],[Status - Continue or stop audit]] = "Continue", TRUE, IF(BL108 = "Continue", TRUE, FALSE))</f>
        <v>1</v>
      </c>
      <c r="BN109" s="113"/>
    </row>
    <row r="110" spans="1:66" ht="15" hidden="1" customHeight="1" x14ac:dyDescent="0.35">
      <c r="A110" s="114" t="str">
        <f>'Sampling Data'!AI110</f>
        <v/>
      </c>
      <c r="B110" s="114" t="str">
        <f>'Sampling Data'!A110</f>
        <v>1507 CIN 15-G   (AV)</v>
      </c>
      <c r="C110" s="114">
        <f>'Sampling Data'!B110</f>
        <v>17</v>
      </c>
      <c r="D110" s="114">
        <f>'Sampling Data'!C110</f>
        <v>4</v>
      </c>
      <c r="E110" s="115">
        <f>'Sampling Data'!D110</f>
        <v>0</v>
      </c>
      <c r="F110" s="115">
        <f>'Sampling Data'!E110</f>
        <v>0</v>
      </c>
      <c r="G110" s="115">
        <f>'Sampling Data'!F110</f>
        <v>0</v>
      </c>
      <c r="H110" s="115">
        <f>'Sampling Data'!G110</f>
        <v>0</v>
      </c>
      <c r="I110" s="115">
        <f>'Sampling Data'!H110</f>
        <v>0</v>
      </c>
      <c r="J110" s="115">
        <f>'Sampling Data'!I110</f>
        <v>0</v>
      </c>
      <c r="K110" s="115">
        <f>'Sampling Data'!J110</f>
        <v>0</v>
      </c>
      <c r="L110" s="115">
        <f>'Sampling Data'!K110</f>
        <v>0</v>
      </c>
      <c r="M110" s="115">
        <f>'Sampling Data'!L110</f>
        <v>0</v>
      </c>
      <c r="N110" s="115">
        <f>'Sampling Data'!M110</f>
        <v>0</v>
      </c>
      <c r="O110" s="114">
        <f>'Sampling Data'!N110</f>
        <v>0</v>
      </c>
      <c r="P110" s="114">
        <f>'Sampling Data'!O110</f>
        <v>1</v>
      </c>
      <c r="Q110" s="114">
        <f>'Sampling Data'!P110</f>
        <v>22</v>
      </c>
      <c r="R110" s="114">
        <f>'Sampling Data'!AJ110</f>
        <v>0</v>
      </c>
      <c r="S110" s="116"/>
      <c r="T110" s="116"/>
      <c r="U110" s="117"/>
      <c r="V110" s="117"/>
      <c r="W110" s="116"/>
      <c r="X110" s="116"/>
      <c r="Y110" s="116"/>
      <c r="Z110" s="116"/>
      <c r="AA110" s="15"/>
      <c r="AB110" s="15"/>
      <c r="AC110" s="15"/>
      <c r="AD110" s="15"/>
      <c r="AE110" s="118" t="str">
        <f>IF(NOT(ISBLANK(Audit[[#This Row],[Audit Winning Candidate]])), Audit[[#This Row],[Audit Winning Candidate]]-Audit[[#This Row],[Winning Candidate]], "")</f>
        <v/>
      </c>
      <c r="AF110" s="114" t="str">
        <f>IF(NOT(ISBLANK(Audit[[#This Row],[Audit Losing Candidate]])), Audit[[#This Row],[Audit Losing Candidate]]-Audit[[#This Row],[Losing Candidate]], "")</f>
        <v/>
      </c>
      <c r="AG110" s="114" t="str">
        <f>IF(NOT(ISBLANK(Audit[[#This Row],[Audit Candidate 3]])), Audit[[#This Row],[Audit Candidate 3]]-Audit[[#This Row],[Candidate 3]], "")</f>
        <v/>
      </c>
      <c r="AH110" s="114" t="str">
        <f>IF(NOT(ISBLANK(Audit[[#This Row],[Audit Candidate 4]])),Audit[[#This Row],[Audit Candidate 4]]-Audit[[#This Row],[Candidate 4]], "")</f>
        <v/>
      </c>
      <c r="AI110" s="114" t="str">
        <f>IF(NOT(ISBLANK(Audit[[#This Row],[Audit Candidate 5]])), Audit[[#This Row],[Audit Candidate 5]]-Audit[[#This Row],[Candidate 5]], "")</f>
        <v/>
      </c>
      <c r="AJ110" s="114" t="str">
        <f>IF(NOT(ISBLANK(Audit[[#This Row],[Audit Candidate 6]])), Audit[[#This Row],[Audit Candidate 6]]-Audit[[#This Row],[Candidate 6]], "")</f>
        <v/>
      </c>
      <c r="AK110" s="114" t="str">
        <f>IF(NOT(ISBLANK(Audit[[#This Row],[Audit Candidate 7]])), Audit[[#This Row],[Audit Candidate 7]]-Audit[[#This Row],[Candidate 7]], "")</f>
        <v/>
      </c>
      <c r="AL110" s="114" t="str">
        <f>IF(NOT(ISBLANK(Audit[[#This Row],[Audit Candidate 8]])), Audit[[#This Row],[Audit Candidate 8]]-Audit[[#This Row],[Candidate 8]], "")</f>
        <v/>
      </c>
      <c r="AM110" s="114" t="str">
        <f>IF(NOT(ISBLANK(Audit[[#This Row],[Audit Candidate 9]])), Audit[[#This Row],[Audit Candidate 9]]-Audit[[#This Row],[Candidate 9]], "")</f>
        <v/>
      </c>
      <c r="AN110" s="114" t="str">
        <f>IF(NOT(ISBLANK(Audit[[#This Row],[Audit Candidate 10]])), Audit[[#This Row],[Audit Candidate 10]]-Audit[[#This Row],[Candidate 10]], "")</f>
        <v/>
      </c>
      <c r="AO110" s="114" t="str">
        <f>IF(NOT(ISBLANK(Audit[[#This Row],[Audit Candidate 11]])), Audit[[#This Row],[Audit Candidate 11]]-Audit[[#This Row],[Candidate 11]], "")</f>
        <v/>
      </c>
      <c r="AP110" s="114" t="str">
        <f>IF(NOT(ISBLANK(Audit[[#This Row],[Audit Candidate 12]])), Audit[[#This Row],[Audit Candidate 12]]-Audit[[#This Row],[Candidate 12]], "")</f>
        <v/>
      </c>
      <c r="AQ110" s="114">
        <f>SUMIF(Audit[[#This Row],[Difference Winner]:[Difference Candidate 12]], "&gt;0")</f>
        <v>0</v>
      </c>
      <c r="AR110" s="114">
        <f>SUM(Audit[[#This Row],[Difference Winner]:[Difference Candidate 12]])</f>
        <v>0</v>
      </c>
      <c r="AS110" s="114">
        <f>IF(Audit[[#This Row],[Times p Drawn - With Replacement]]&gt;0, IF(Audit[[#This Row],[Canceled Differences]]&lt;0, Audit[[#This Row],[Max Differences]]+ABS(Audit[[#This Row],[Canceled Differences]]), Audit[[#This Row],[Max Differences]]), 0)</f>
        <v>0</v>
      </c>
      <c r="AT110" s="114">
        <f>'Sampling Data'!AB110</f>
        <v>2.2122495417483093E-3</v>
      </c>
      <c r="AU110" s="114">
        <f>IF(
      SUM(Audit[[#This Row],[Audit Losing Candidate]:[Audit Candidate 12]])
      &lt;&gt;0,
      (Audit[[#This Row],[Winning Candidate]]-Audit[[#This Row],[Losing Candidate]]-(Audit[[#This Row],[Audit Winning Candidate]]-Audit[[#This Row],[Audit Losing Candidate]]))/(Audit[[#Totals],[Winning Candidate]]-Audit[[#Totals],[Losing Candidate]]),
      0
)</f>
        <v>0</v>
      </c>
      <c r="AV1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0" s="114">
        <f>IF(Audit[[#This Row],[Max Relative Error (ep)]] = 0, 0, Audit[[#This Row],[Max Relative Error (ep)]]/Audit[[#This Row],[Error Bound (up) - Max. possible relative overstatement]])</f>
        <v>0</v>
      </c>
      <c r="BH1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0" s="114">
        <f t="shared" si="2"/>
        <v>1</v>
      </c>
      <c r="BJ110" s="114">
        <f>PRODUCT($BI$5:BI110)</f>
        <v>0.20973752198051165</v>
      </c>
      <c r="BK110" s="112">
        <f>1 - Audit[[#This Row],[K-M P Value]]</f>
        <v>0.79026247801948835</v>
      </c>
      <c r="BL110" s="114" t="str">
        <f>IF(Audit[[#This Row],[K-M P Value]]&gt;1-'General Info'!$B$12,"Continue", "Stop")</f>
        <v>Continue</v>
      </c>
      <c r="BM110" s="113" t="b">
        <f>IF(Audit[[#This Row],[Status - Continue or stop audit]] = "Continue", TRUE, IF(BL109 = "Continue", TRUE, FALSE))</f>
        <v>1</v>
      </c>
      <c r="BN110" s="113"/>
    </row>
    <row r="111" spans="1:66" ht="15" hidden="1" customHeight="1" x14ac:dyDescent="0.35">
      <c r="A111" s="114" t="str">
        <f>'Sampling Data'!AI111</f>
        <v/>
      </c>
      <c r="B111" s="114" t="str">
        <f>'Sampling Data'!A111</f>
        <v>1508 CIN 15-H   (AV)</v>
      </c>
      <c r="C111" s="114">
        <f>'Sampling Data'!B111</f>
        <v>43</v>
      </c>
      <c r="D111" s="114">
        <f>'Sampling Data'!C111</f>
        <v>1</v>
      </c>
      <c r="E111" s="115">
        <f>'Sampling Data'!D111</f>
        <v>0</v>
      </c>
      <c r="F111" s="115">
        <f>'Sampling Data'!E111</f>
        <v>0</v>
      </c>
      <c r="G111" s="115">
        <f>'Sampling Data'!F111</f>
        <v>0</v>
      </c>
      <c r="H111" s="115">
        <f>'Sampling Data'!G111</f>
        <v>0</v>
      </c>
      <c r="I111" s="115">
        <f>'Sampling Data'!H111</f>
        <v>0</v>
      </c>
      <c r="J111" s="115">
        <f>'Sampling Data'!I111</f>
        <v>0</v>
      </c>
      <c r="K111" s="115">
        <f>'Sampling Data'!J111</f>
        <v>0</v>
      </c>
      <c r="L111" s="115">
        <f>'Sampling Data'!K111</f>
        <v>0</v>
      </c>
      <c r="M111" s="115">
        <f>'Sampling Data'!L111</f>
        <v>0</v>
      </c>
      <c r="N111" s="115">
        <f>'Sampling Data'!M111</f>
        <v>0</v>
      </c>
      <c r="O111" s="114">
        <f>'Sampling Data'!N111</f>
        <v>0</v>
      </c>
      <c r="P111" s="114">
        <f>'Sampling Data'!O111</f>
        <v>0</v>
      </c>
      <c r="Q111" s="114">
        <f>'Sampling Data'!P111</f>
        <v>44</v>
      </c>
      <c r="R111" s="114">
        <f>'Sampling Data'!AJ111</f>
        <v>0</v>
      </c>
      <c r="S111" s="116"/>
      <c r="T111" s="116"/>
      <c r="U111" s="117"/>
      <c r="V111" s="117"/>
      <c r="W111" s="116"/>
      <c r="X111" s="116"/>
      <c r="Y111" s="116"/>
      <c r="Z111" s="116"/>
      <c r="AA111" s="15"/>
      <c r="AB111" s="15"/>
      <c r="AC111" s="15"/>
      <c r="AD111" s="15"/>
      <c r="AE111" s="118" t="str">
        <f>IF(NOT(ISBLANK(Audit[[#This Row],[Audit Winning Candidate]])), Audit[[#This Row],[Audit Winning Candidate]]-Audit[[#This Row],[Winning Candidate]], "")</f>
        <v/>
      </c>
      <c r="AF111" s="114" t="str">
        <f>IF(NOT(ISBLANK(Audit[[#This Row],[Audit Losing Candidate]])), Audit[[#This Row],[Audit Losing Candidate]]-Audit[[#This Row],[Losing Candidate]], "")</f>
        <v/>
      </c>
      <c r="AG111" s="114" t="str">
        <f>IF(NOT(ISBLANK(Audit[[#This Row],[Audit Candidate 3]])), Audit[[#This Row],[Audit Candidate 3]]-Audit[[#This Row],[Candidate 3]], "")</f>
        <v/>
      </c>
      <c r="AH111" s="114" t="str">
        <f>IF(NOT(ISBLANK(Audit[[#This Row],[Audit Candidate 4]])),Audit[[#This Row],[Audit Candidate 4]]-Audit[[#This Row],[Candidate 4]], "")</f>
        <v/>
      </c>
      <c r="AI111" s="114" t="str">
        <f>IF(NOT(ISBLANK(Audit[[#This Row],[Audit Candidate 5]])), Audit[[#This Row],[Audit Candidate 5]]-Audit[[#This Row],[Candidate 5]], "")</f>
        <v/>
      </c>
      <c r="AJ111" s="114" t="str">
        <f>IF(NOT(ISBLANK(Audit[[#This Row],[Audit Candidate 6]])), Audit[[#This Row],[Audit Candidate 6]]-Audit[[#This Row],[Candidate 6]], "")</f>
        <v/>
      </c>
      <c r="AK111" s="114" t="str">
        <f>IF(NOT(ISBLANK(Audit[[#This Row],[Audit Candidate 7]])), Audit[[#This Row],[Audit Candidate 7]]-Audit[[#This Row],[Candidate 7]], "")</f>
        <v/>
      </c>
      <c r="AL111" s="114" t="str">
        <f>IF(NOT(ISBLANK(Audit[[#This Row],[Audit Candidate 8]])), Audit[[#This Row],[Audit Candidate 8]]-Audit[[#This Row],[Candidate 8]], "")</f>
        <v/>
      </c>
      <c r="AM111" s="114" t="str">
        <f>IF(NOT(ISBLANK(Audit[[#This Row],[Audit Candidate 9]])), Audit[[#This Row],[Audit Candidate 9]]-Audit[[#This Row],[Candidate 9]], "")</f>
        <v/>
      </c>
      <c r="AN111" s="114" t="str">
        <f>IF(NOT(ISBLANK(Audit[[#This Row],[Audit Candidate 10]])), Audit[[#This Row],[Audit Candidate 10]]-Audit[[#This Row],[Candidate 10]], "")</f>
        <v/>
      </c>
      <c r="AO111" s="114" t="str">
        <f>IF(NOT(ISBLANK(Audit[[#This Row],[Audit Candidate 11]])), Audit[[#This Row],[Audit Candidate 11]]-Audit[[#This Row],[Candidate 11]], "")</f>
        <v/>
      </c>
      <c r="AP111" s="114" t="str">
        <f>IF(NOT(ISBLANK(Audit[[#This Row],[Audit Candidate 12]])), Audit[[#This Row],[Audit Candidate 12]]-Audit[[#This Row],[Candidate 12]], "")</f>
        <v/>
      </c>
      <c r="AQ111" s="114">
        <f>SUMIF(Audit[[#This Row],[Difference Winner]:[Difference Candidate 12]], "&gt;0")</f>
        <v>0</v>
      </c>
      <c r="AR111" s="114">
        <f>SUM(Audit[[#This Row],[Difference Winner]:[Difference Candidate 12]])</f>
        <v>0</v>
      </c>
      <c r="AS111" s="114">
        <f>IF(Audit[[#This Row],[Times p Drawn - With Replacement]]&gt;0, IF(Audit[[#This Row],[Canceled Differences]]&lt;0, Audit[[#This Row],[Max Differences]]+ABS(Audit[[#This Row],[Canceled Differences]]), Audit[[#This Row],[Max Differences]]), 0)</f>
        <v>0</v>
      </c>
      <c r="AT111" s="114">
        <f>'Sampling Data'!AB111</f>
        <v>5.4358131597244171E-3</v>
      </c>
      <c r="AU111" s="114">
        <f>IF(
      SUM(Audit[[#This Row],[Audit Losing Candidate]:[Audit Candidate 12]])
      &lt;&gt;0,
      (Audit[[#This Row],[Winning Candidate]]-Audit[[#This Row],[Losing Candidate]]-(Audit[[#This Row],[Audit Winning Candidate]]-Audit[[#This Row],[Audit Losing Candidate]]))/(Audit[[#Totals],[Winning Candidate]]-Audit[[#Totals],[Losing Candidate]]),
      0
)</f>
        <v>0</v>
      </c>
      <c r="AV1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1" s="114">
        <f>IF(Audit[[#This Row],[Max Relative Error (ep)]] = 0, 0, Audit[[#This Row],[Max Relative Error (ep)]]/Audit[[#This Row],[Error Bound (up) - Max. possible relative overstatement]])</f>
        <v>0</v>
      </c>
      <c r="BH1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1" s="114">
        <f t="shared" si="2"/>
        <v>1</v>
      </c>
      <c r="BJ111" s="114">
        <f>PRODUCT($BI$5:BI111)</f>
        <v>0.20973752198051165</v>
      </c>
      <c r="BK111" s="112">
        <f>1 - Audit[[#This Row],[K-M P Value]]</f>
        <v>0.79026247801948835</v>
      </c>
      <c r="BL111" s="114" t="str">
        <f>IF(Audit[[#This Row],[K-M P Value]]&gt;1-'General Info'!$B$12,"Continue", "Stop")</f>
        <v>Continue</v>
      </c>
      <c r="BM111" s="113" t="b">
        <f>IF(Audit[[#This Row],[Status - Continue or stop audit]] = "Continue", TRUE, IF(BL110 = "Continue", TRUE, FALSE))</f>
        <v>1</v>
      </c>
      <c r="BN111" s="113"/>
    </row>
    <row r="112" spans="1:66" ht="15" hidden="1" customHeight="1" x14ac:dyDescent="0.35">
      <c r="A112" s="114" t="str">
        <f>'Sampling Data'!AI112</f>
        <v/>
      </c>
      <c r="B112" s="114" t="str">
        <f>'Sampling Data'!A112</f>
        <v>1509 CIN 15-I   (AV)</v>
      </c>
      <c r="C112" s="114">
        <f>'Sampling Data'!B112</f>
        <v>11</v>
      </c>
      <c r="D112" s="114">
        <f>'Sampling Data'!C112</f>
        <v>4</v>
      </c>
      <c r="E112" s="115">
        <f>'Sampling Data'!D112</f>
        <v>0</v>
      </c>
      <c r="F112" s="115">
        <f>'Sampling Data'!E112</f>
        <v>0</v>
      </c>
      <c r="G112" s="115">
        <f>'Sampling Data'!F112</f>
        <v>0</v>
      </c>
      <c r="H112" s="115">
        <f>'Sampling Data'!G112</f>
        <v>0</v>
      </c>
      <c r="I112" s="115">
        <f>'Sampling Data'!H112</f>
        <v>0</v>
      </c>
      <c r="J112" s="115">
        <f>'Sampling Data'!I112</f>
        <v>0</v>
      </c>
      <c r="K112" s="115">
        <f>'Sampling Data'!J112</f>
        <v>0</v>
      </c>
      <c r="L112" s="115">
        <f>'Sampling Data'!K112</f>
        <v>0</v>
      </c>
      <c r="M112" s="115">
        <f>'Sampling Data'!L112</f>
        <v>0</v>
      </c>
      <c r="N112" s="115">
        <f>'Sampling Data'!M112</f>
        <v>0</v>
      </c>
      <c r="O112" s="114">
        <f>'Sampling Data'!N112</f>
        <v>0</v>
      </c>
      <c r="P112" s="114">
        <f>'Sampling Data'!O112</f>
        <v>0</v>
      </c>
      <c r="Q112" s="114">
        <f>'Sampling Data'!P112</f>
        <v>15</v>
      </c>
      <c r="R112" s="114">
        <f>'Sampling Data'!AJ112</f>
        <v>0</v>
      </c>
      <c r="S112" s="116"/>
      <c r="T112" s="116"/>
      <c r="U112" s="117"/>
      <c r="V112" s="117"/>
      <c r="W112" s="116"/>
      <c r="X112" s="116"/>
      <c r="Y112" s="116"/>
      <c r="Z112" s="116"/>
      <c r="AA112" s="15"/>
      <c r="AB112" s="15"/>
      <c r="AC112" s="15"/>
      <c r="AD112" s="15"/>
      <c r="AE112" s="118" t="str">
        <f>IF(NOT(ISBLANK(Audit[[#This Row],[Audit Winning Candidate]])), Audit[[#This Row],[Audit Winning Candidate]]-Audit[[#This Row],[Winning Candidate]], "")</f>
        <v/>
      </c>
      <c r="AF112" s="114" t="str">
        <f>IF(NOT(ISBLANK(Audit[[#This Row],[Audit Losing Candidate]])), Audit[[#This Row],[Audit Losing Candidate]]-Audit[[#This Row],[Losing Candidate]], "")</f>
        <v/>
      </c>
      <c r="AG112" s="114" t="str">
        <f>IF(NOT(ISBLANK(Audit[[#This Row],[Audit Candidate 3]])), Audit[[#This Row],[Audit Candidate 3]]-Audit[[#This Row],[Candidate 3]], "")</f>
        <v/>
      </c>
      <c r="AH112" s="114" t="str">
        <f>IF(NOT(ISBLANK(Audit[[#This Row],[Audit Candidate 4]])),Audit[[#This Row],[Audit Candidate 4]]-Audit[[#This Row],[Candidate 4]], "")</f>
        <v/>
      </c>
      <c r="AI112" s="114" t="str">
        <f>IF(NOT(ISBLANK(Audit[[#This Row],[Audit Candidate 5]])), Audit[[#This Row],[Audit Candidate 5]]-Audit[[#This Row],[Candidate 5]], "")</f>
        <v/>
      </c>
      <c r="AJ112" s="114" t="str">
        <f>IF(NOT(ISBLANK(Audit[[#This Row],[Audit Candidate 6]])), Audit[[#This Row],[Audit Candidate 6]]-Audit[[#This Row],[Candidate 6]], "")</f>
        <v/>
      </c>
      <c r="AK112" s="114" t="str">
        <f>IF(NOT(ISBLANK(Audit[[#This Row],[Audit Candidate 7]])), Audit[[#This Row],[Audit Candidate 7]]-Audit[[#This Row],[Candidate 7]], "")</f>
        <v/>
      </c>
      <c r="AL112" s="114" t="str">
        <f>IF(NOT(ISBLANK(Audit[[#This Row],[Audit Candidate 8]])), Audit[[#This Row],[Audit Candidate 8]]-Audit[[#This Row],[Candidate 8]], "")</f>
        <v/>
      </c>
      <c r="AM112" s="114" t="str">
        <f>IF(NOT(ISBLANK(Audit[[#This Row],[Audit Candidate 9]])), Audit[[#This Row],[Audit Candidate 9]]-Audit[[#This Row],[Candidate 9]], "")</f>
        <v/>
      </c>
      <c r="AN112" s="114" t="str">
        <f>IF(NOT(ISBLANK(Audit[[#This Row],[Audit Candidate 10]])), Audit[[#This Row],[Audit Candidate 10]]-Audit[[#This Row],[Candidate 10]], "")</f>
        <v/>
      </c>
      <c r="AO112" s="114" t="str">
        <f>IF(NOT(ISBLANK(Audit[[#This Row],[Audit Candidate 11]])), Audit[[#This Row],[Audit Candidate 11]]-Audit[[#This Row],[Candidate 11]], "")</f>
        <v/>
      </c>
      <c r="AP112" s="114" t="str">
        <f>IF(NOT(ISBLANK(Audit[[#This Row],[Audit Candidate 12]])), Audit[[#This Row],[Audit Candidate 12]]-Audit[[#This Row],[Candidate 12]], "")</f>
        <v/>
      </c>
      <c r="AQ112" s="114">
        <f>SUMIF(Audit[[#This Row],[Difference Winner]:[Difference Candidate 12]], "&gt;0")</f>
        <v>0</v>
      </c>
      <c r="AR112" s="114">
        <f>SUM(Audit[[#This Row],[Difference Winner]:[Difference Candidate 12]])</f>
        <v>0</v>
      </c>
      <c r="AS112" s="114">
        <f>IF(Audit[[#This Row],[Times p Drawn - With Replacement]]&gt;0, IF(Audit[[#This Row],[Canceled Differences]]&lt;0, Audit[[#This Row],[Max Differences]]+ABS(Audit[[#This Row],[Canceled Differences]]), Audit[[#This Row],[Max Differences]]), 0)</f>
        <v>0</v>
      </c>
      <c r="AT112" s="114">
        <f>'Sampling Data'!AB112</f>
        <v>1.4675999096861595E-3</v>
      </c>
      <c r="AU112" s="114">
        <f>IF(
      SUM(Audit[[#This Row],[Audit Losing Candidate]:[Audit Candidate 12]])
      &lt;&gt;0,
      (Audit[[#This Row],[Winning Candidate]]-Audit[[#This Row],[Losing Candidate]]-(Audit[[#This Row],[Audit Winning Candidate]]-Audit[[#This Row],[Audit Losing Candidate]]))/(Audit[[#Totals],[Winning Candidate]]-Audit[[#Totals],[Losing Candidate]]),
      0
)</f>
        <v>0</v>
      </c>
      <c r="AV1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2" s="114">
        <f>IF(Audit[[#This Row],[Max Relative Error (ep)]] = 0, 0, Audit[[#This Row],[Max Relative Error (ep)]]/Audit[[#This Row],[Error Bound (up) - Max. possible relative overstatement]])</f>
        <v>0</v>
      </c>
      <c r="BH1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2" s="114">
        <f t="shared" si="2"/>
        <v>1</v>
      </c>
      <c r="BJ112" s="114">
        <f>PRODUCT($BI$5:BI112)</f>
        <v>0.20973752198051165</v>
      </c>
      <c r="BK112" s="112">
        <f>1 - Audit[[#This Row],[K-M P Value]]</f>
        <v>0.79026247801948835</v>
      </c>
      <c r="BL112" s="114" t="str">
        <f>IF(Audit[[#This Row],[K-M P Value]]&gt;1-'General Info'!$B$12,"Continue", "Stop")</f>
        <v>Continue</v>
      </c>
      <c r="BM112" s="113" t="b">
        <f>IF(Audit[[#This Row],[Status - Continue or stop audit]] = "Continue", TRUE, IF(BL111 = "Continue", TRUE, FALSE))</f>
        <v>1</v>
      </c>
      <c r="BN112" s="113"/>
    </row>
    <row r="113" spans="1:66" ht="15" hidden="1" customHeight="1" x14ac:dyDescent="0.35">
      <c r="A113" s="114" t="str">
        <f>'Sampling Data'!AI113</f>
        <v/>
      </c>
      <c r="B113" s="114" t="str">
        <f>'Sampling Data'!A113</f>
        <v>1510 CIN 15-J   (AV)</v>
      </c>
      <c r="C113" s="114">
        <f>'Sampling Data'!B113</f>
        <v>11</v>
      </c>
      <c r="D113" s="114">
        <f>'Sampling Data'!C113</f>
        <v>0</v>
      </c>
      <c r="E113" s="115">
        <f>'Sampling Data'!D113</f>
        <v>0</v>
      </c>
      <c r="F113" s="115">
        <f>'Sampling Data'!E113</f>
        <v>0</v>
      </c>
      <c r="G113" s="115">
        <f>'Sampling Data'!F113</f>
        <v>0</v>
      </c>
      <c r="H113" s="115">
        <f>'Sampling Data'!G113</f>
        <v>0</v>
      </c>
      <c r="I113" s="115">
        <f>'Sampling Data'!H113</f>
        <v>0</v>
      </c>
      <c r="J113" s="115">
        <f>'Sampling Data'!I113</f>
        <v>0</v>
      </c>
      <c r="K113" s="115">
        <f>'Sampling Data'!J113</f>
        <v>0</v>
      </c>
      <c r="L113" s="115">
        <f>'Sampling Data'!K113</f>
        <v>0</v>
      </c>
      <c r="M113" s="115">
        <f>'Sampling Data'!L113</f>
        <v>0</v>
      </c>
      <c r="N113" s="115">
        <f>'Sampling Data'!M113</f>
        <v>0</v>
      </c>
      <c r="O113" s="114">
        <f>'Sampling Data'!N113</f>
        <v>0</v>
      </c>
      <c r="P113" s="114">
        <f>'Sampling Data'!O113</f>
        <v>0</v>
      </c>
      <c r="Q113" s="114">
        <f>'Sampling Data'!P113</f>
        <v>11</v>
      </c>
      <c r="R113" s="114">
        <f>'Sampling Data'!AJ113</f>
        <v>0</v>
      </c>
      <c r="S113" s="116"/>
      <c r="T113" s="116"/>
      <c r="U113" s="117"/>
      <c r="V113" s="117"/>
      <c r="W113" s="116"/>
      <c r="X113" s="116"/>
      <c r="Y113" s="116"/>
      <c r="Z113" s="116"/>
      <c r="AA113" s="15"/>
      <c r="AB113" s="15"/>
      <c r="AC113" s="15"/>
      <c r="AD113" s="15"/>
      <c r="AE113" s="118" t="str">
        <f>IF(NOT(ISBLANK(Audit[[#This Row],[Audit Winning Candidate]])), Audit[[#This Row],[Audit Winning Candidate]]-Audit[[#This Row],[Winning Candidate]], "")</f>
        <v/>
      </c>
      <c r="AF113" s="114" t="str">
        <f>IF(NOT(ISBLANK(Audit[[#This Row],[Audit Losing Candidate]])), Audit[[#This Row],[Audit Losing Candidate]]-Audit[[#This Row],[Losing Candidate]], "")</f>
        <v/>
      </c>
      <c r="AG113" s="114" t="str">
        <f>IF(NOT(ISBLANK(Audit[[#This Row],[Audit Candidate 3]])), Audit[[#This Row],[Audit Candidate 3]]-Audit[[#This Row],[Candidate 3]], "")</f>
        <v/>
      </c>
      <c r="AH113" s="114" t="str">
        <f>IF(NOT(ISBLANK(Audit[[#This Row],[Audit Candidate 4]])),Audit[[#This Row],[Audit Candidate 4]]-Audit[[#This Row],[Candidate 4]], "")</f>
        <v/>
      </c>
      <c r="AI113" s="114" t="str">
        <f>IF(NOT(ISBLANK(Audit[[#This Row],[Audit Candidate 5]])), Audit[[#This Row],[Audit Candidate 5]]-Audit[[#This Row],[Candidate 5]], "")</f>
        <v/>
      </c>
      <c r="AJ113" s="114" t="str">
        <f>IF(NOT(ISBLANK(Audit[[#This Row],[Audit Candidate 6]])), Audit[[#This Row],[Audit Candidate 6]]-Audit[[#This Row],[Candidate 6]], "")</f>
        <v/>
      </c>
      <c r="AK113" s="114" t="str">
        <f>IF(NOT(ISBLANK(Audit[[#This Row],[Audit Candidate 7]])), Audit[[#This Row],[Audit Candidate 7]]-Audit[[#This Row],[Candidate 7]], "")</f>
        <v/>
      </c>
      <c r="AL113" s="114" t="str">
        <f>IF(NOT(ISBLANK(Audit[[#This Row],[Audit Candidate 8]])), Audit[[#This Row],[Audit Candidate 8]]-Audit[[#This Row],[Candidate 8]], "")</f>
        <v/>
      </c>
      <c r="AM113" s="114" t="str">
        <f>IF(NOT(ISBLANK(Audit[[#This Row],[Audit Candidate 9]])), Audit[[#This Row],[Audit Candidate 9]]-Audit[[#This Row],[Candidate 9]], "")</f>
        <v/>
      </c>
      <c r="AN113" s="114" t="str">
        <f>IF(NOT(ISBLANK(Audit[[#This Row],[Audit Candidate 10]])), Audit[[#This Row],[Audit Candidate 10]]-Audit[[#This Row],[Candidate 10]], "")</f>
        <v/>
      </c>
      <c r="AO113" s="114" t="str">
        <f>IF(NOT(ISBLANK(Audit[[#This Row],[Audit Candidate 11]])), Audit[[#This Row],[Audit Candidate 11]]-Audit[[#This Row],[Candidate 11]], "")</f>
        <v/>
      </c>
      <c r="AP113" s="114" t="str">
        <f>IF(NOT(ISBLANK(Audit[[#This Row],[Audit Candidate 12]])), Audit[[#This Row],[Audit Candidate 12]]-Audit[[#This Row],[Candidate 12]], "")</f>
        <v/>
      </c>
      <c r="AQ113" s="114">
        <f>SUMIF(Audit[[#This Row],[Difference Winner]:[Difference Candidate 12]], "&gt;0")</f>
        <v>0</v>
      </c>
      <c r="AR113" s="114">
        <f>SUM(Audit[[#This Row],[Difference Winner]:[Difference Candidate 12]])</f>
        <v>0</v>
      </c>
      <c r="AS113" s="114">
        <f>IF(Audit[[#This Row],[Times p Drawn - With Replacement]]&gt;0, IF(Audit[[#This Row],[Canceled Differences]]&lt;0, Audit[[#This Row],[Max Differences]]+ABS(Audit[[#This Row],[Canceled Differences]]), Audit[[#This Row],[Max Differences]]), 0)</f>
        <v>0</v>
      </c>
      <c r="AT113" s="114">
        <f>'Sampling Data'!AB113</f>
        <v>1.3905568548132229E-3</v>
      </c>
      <c r="AU113" s="114">
        <f>IF(
      SUM(Audit[[#This Row],[Audit Losing Candidate]:[Audit Candidate 12]])
      &lt;&gt;0,
      (Audit[[#This Row],[Winning Candidate]]-Audit[[#This Row],[Losing Candidate]]-(Audit[[#This Row],[Audit Winning Candidate]]-Audit[[#This Row],[Audit Losing Candidate]]))/(Audit[[#Totals],[Winning Candidate]]-Audit[[#Totals],[Losing Candidate]]),
      0
)</f>
        <v>0</v>
      </c>
      <c r="AV1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3" s="114">
        <f>IF(Audit[[#This Row],[Max Relative Error (ep)]] = 0, 0, Audit[[#This Row],[Max Relative Error (ep)]]/Audit[[#This Row],[Error Bound (up) - Max. possible relative overstatement]])</f>
        <v>0</v>
      </c>
      <c r="BH1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3" s="114">
        <f t="shared" si="2"/>
        <v>1</v>
      </c>
      <c r="BJ113" s="114">
        <f>PRODUCT($BI$5:BI113)</f>
        <v>0.20973752198051165</v>
      </c>
      <c r="BK113" s="112">
        <f>1 - Audit[[#This Row],[K-M P Value]]</f>
        <v>0.79026247801948835</v>
      </c>
      <c r="BL113" s="114" t="str">
        <f>IF(Audit[[#This Row],[K-M P Value]]&gt;1-'General Info'!$B$12,"Continue", "Stop")</f>
        <v>Continue</v>
      </c>
      <c r="BM113" s="113" t="b">
        <f>IF(Audit[[#This Row],[Status - Continue or stop audit]] = "Continue", TRUE, IF(BL112 = "Continue", TRUE, FALSE))</f>
        <v>1</v>
      </c>
      <c r="BN113" s="113"/>
    </row>
    <row r="114" spans="1:66" ht="15" hidden="1" customHeight="1" x14ac:dyDescent="0.35">
      <c r="A114" s="114" t="str">
        <f>'Sampling Data'!AI114</f>
        <v/>
      </c>
      <c r="B114" s="114" t="str">
        <f>'Sampling Data'!A114</f>
        <v>1601 CIN 16-A   (AV)</v>
      </c>
      <c r="C114" s="114">
        <f>'Sampling Data'!B114</f>
        <v>13</v>
      </c>
      <c r="D114" s="114">
        <f>'Sampling Data'!C114</f>
        <v>1</v>
      </c>
      <c r="E114" s="115">
        <f>'Sampling Data'!D114</f>
        <v>0</v>
      </c>
      <c r="F114" s="115">
        <f>'Sampling Data'!E114</f>
        <v>0</v>
      </c>
      <c r="G114" s="115">
        <f>'Sampling Data'!F114</f>
        <v>0</v>
      </c>
      <c r="H114" s="115">
        <f>'Sampling Data'!G114</f>
        <v>0</v>
      </c>
      <c r="I114" s="115">
        <f>'Sampling Data'!H114</f>
        <v>0</v>
      </c>
      <c r="J114" s="115">
        <f>'Sampling Data'!I114</f>
        <v>0</v>
      </c>
      <c r="K114" s="115">
        <f>'Sampling Data'!J114</f>
        <v>0</v>
      </c>
      <c r="L114" s="115">
        <f>'Sampling Data'!K114</f>
        <v>0</v>
      </c>
      <c r="M114" s="115">
        <f>'Sampling Data'!L114</f>
        <v>0</v>
      </c>
      <c r="N114" s="115">
        <f>'Sampling Data'!M114</f>
        <v>0</v>
      </c>
      <c r="O114" s="114">
        <f>'Sampling Data'!N114</f>
        <v>0</v>
      </c>
      <c r="P114" s="114">
        <f>'Sampling Data'!O114</f>
        <v>1</v>
      </c>
      <c r="Q114" s="114">
        <f>'Sampling Data'!P114</f>
        <v>15</v>
      </c>
      <c r="R114" s="114">
        <f>'Sampling Data'!AJ114</f>
        <v>0</v>
      </c>
      <c r="S114" s="116"/>
      <c r="T114" s="116"/>
      <c r="U114" s="117"/>
      <c r="V114" s="117"/>
      <c r="W114" s="116"/>
      <c r="X114" s="116"/>
      <c r="Y114" s="116"/>
      <c r="Z114" s="116"/>
      <c r="AA114" s="15"/>
      <c r="AB114" s="15"/>
      <c r="AC114" s="15"/>
      <c r="AD114" s="15"/>
      <c r="AE114" s="118" t="str">
        <f>IF(NOT(ISBLANK(Audit[[#This Row],[Audit Winning Candidate]])), Audit[[#This Row],[Audit Winning Candidate]]-Audit[[#This Row],[Winning Candidate]], "")</f>
        <v/>
      </c>
      <c r="AF114" s="114" t="str">
        <f>IF(NOT(ISBLANK(Audit[[#This Row],[Audit Losing Candidate]])), Audit[[#This Row],[Audit Losing Candidate]]-Audit[[#This Row],[Losing Candidate]], "")</f>
        <v/>
      </c>
      <c r="AG114" s="114" t="str">
        <f>IF(NOT(ISBLANK(Audit[[#This Row],[Audit Candidate 3]])), Audit[[#This Row],[Audit Candidate 3]]-Audit[[#This Row],[Candidate 3]], "")</f>
        <v/>
      </c>
      <c r="AH114" s="114" t="str">
        <f>IF(NOT(ISBLANK(Audit[[#This Row],[Audit Candidate 4]])),Audit[[#This Row],[Audit Candidate 4]]-Audit[[#This Row],[Candidate 4]], "")</f>
        <v/>
      </c>
      <c r="AI114" s="114" t="str">
        <f>IF(NOT(ISBLANK(Audit[[#This Row],[Audit Candidate 5]])), Audit[[#This Row],[Audit Candidate 5]]-Audit[[#This Row],[Candidate 5]], "")</f>
        <v/>
      </c>
      <c r="AJ114" s="114" t="str">
        <f>IF(NOT(ISBLANK(Audit[[#This Row],[Audit Candidate 6]])), Audit[[#This Row],[Audit Candidate 6]]-Audit[[#This Row],[Candidate 6]], "")</f>
        <v/>
      </c>
      <c r="AK114" s="114" t="str">
        <f>IF(NOT(ISBLANK(Audit[[#This Row],[Audit Candidate 7]])), Audit[[#This Row],[Audit Candidate 7]]-Audit[[#This Row],[Candidate 7]], "")</f>
        <v/>
      </c>
      <c r="AL114" s="114" t="str">
        <f>IF(NOT(ISBLANK(Audit[[#This Row],[Audit Candidate 8]])), Audit[[#This Row],[Audit Candidate 8]]-Audit[[#This Row],[Candidate 8]], "")</f>
        <v/>
      </c>
      <c r="AM114" s="114" t="str">
        <f>IF(NOT(ISBLANK(Audit[[#This Row],[Audit Candidate 9]])), Audit[[#This Row],[Audit Candidate 9]]-Audit[[#This Row],[Candidate 9]], "")</f>
        <v/>
      </c>
      <c r="AN114" s="114" t="str">
        <f>IF(NOT(ISBLANK(Audit[[#This Row],[Audit Candidate 10]])), Audit[[#This Row],[Audit Candidate 10]]-Audit[[#This Row],[Candidate 10]], "")</f>
        <v/>
      </c>
      <c r="AO114" s="114" t="str">
        <f>IF(NOT(ISBLANK(Audit[[#This Row],[Audit Candidate 11]])), Audit[[#This Row],[Audit Candidate 11]]-Audit[[#This Row],[Candidate 11]], "")</f>
        <v/>
      </c>
      <c r="AP114" s="114" t="str">
        <f>IF(NOT(ISBLANK(Audit[[#This Row],[Audit Candidate 12]])), Audit[[#This Row],[Audit Candidate 12]]-Audit[[#This Row],[Candidate 12]], "")</f>
        <v/>
      </c>
      <c r="AQ114" s="114">
        <f>SUMIF(Audit[[#This Row],[Difference Winner]:[Difference Candidate 12]], "&gt;0")</f>
        <v>0</v>
      </c>
      <c r="AR114" s="114">
        <f>SUM(Audit[[#This Row],[Difference Winner]:[Difference Candidate 12]])</f>
        <v>0</v>
      </c>
      <c r="AS114" s="114">
        <f>IF(Audit[[#This Row],[Times p Drawn - With Replacement]]&gt;0, IF(Audit[[#This Row],[Canceled Differences]]&lt;0, Audit[[#This Row],[Max Differences]]+ABS(Audit[[#This Row],[Canceled Differences]]), Audit[[#This Row],[Max Differences]]), 0)</f>
        <v>0</v>
      </c>
      <c r="AT114" s="114">
        <f>'Sampling Data'!AB114</f>
        <v>1.70659250363441E-3</v>
      </c>
      <c r="AU114" s="114">
        <f>IF(
      SUM(Audit[[#This Row],[Audit Losing Candidate]:[Audit Candidate 12]])
      &lt;&gt;0,
      (Audit[[#This Row],[Winning Candidate]]-Audit[[#This Row],[Losing Candidate]]-(Audit[[#This Row],[Audit Winning Candidate]]-Audit[[#This Row],[Audit Losing Candidate]]))/(Audit[[#Totals],[Winning Candidate]]-Audit[[#Totals],[Losing Candidate]]),
      0
)</f>
        <v>0</v>
      </c>
      <c r="AV1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4" s="114">
        <f>IF(Audit[[#This Row],[Max Relative Error (ep)]] = 0, 0, Audit[[#This Row],[Max Relative Error (ep)]]/Audit[[#This Row],[Error Bound (up) - Max. possible relative overstatement]])</f>
        <v>0</v>
      </c>
      <c r="BH1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4" s="114">
        <f t="shared" si="2"/>
        <v>1</v>
      </c>
      <c r="BJ114" s="114">
        <f>PRODUCT($BI$5:BI114)</f>
        <v>0.20973752198051165</v>
      </c>
      <c r="BK114" s="112">
        <f>1 - Audit[[#This Row],[K-M P Value]]</f>
        <v>0.79026247801948835</v>
      </c>
      <c r="BL114" s="114" t="str">
        <f>IF(Audit[[#This Row],[K-M P Value]]&gt;1-'General Info'!$B$12,"Continue", "Stop")</f>
        <v>Continue</v>
      </c>
      <c r="BM114" s="113" t="b">
        <f>IF(Audit[[#This Row],[Status - Continue or stop audit]] = "Continue", TRUE, IF(BL113 = "Continue", TRUE, FALSE))</f>
        <v>1</v>
      </c>
      <c r="BN114" s="113"/>
    </row>
    <row r="115" spans="1:66" ht="15" hidden="1" customHeight="1" x14ac:dyDescent="0.35">
      <c r="A115" s="114" t="str">
        <f>'Sampling Data'!AI115</f>
        <v/>
      </c>
      <c r="B115" s="114" t="str">
        <f>'Sampling Data'!A115</f>
        <v>1701 CIN 17-A   (AV)</v>
      </c>
      <c r="C115" s="114">
        <f>'Sampling Data'!B115</f>
        <v>6</v>
      </c>
      <c r="D115" s="114">
        <f>'Sampling Data'!C115</f>
        <v>1</v>
      </c>
      <c r="E115" s="115">
        <f>'Sampling Data'!D115</f>
        <v>1</v>
      </c>
      <c r="F115" s="115">
        <f>'Sampling Data'!E115</f>
        <v>0</v>
      </c>
      <c r="G115" s="115">
        <f>'Sampling Data'!F115</f>
        <v>0</v>
      </c>
      <c r="H115" s="115">
        <f>'Sampling Data'!G115</f>
        <v>0</v>
      </c>
      <c r="I115" s="115">
        <f>'Sampling Data'!H115</f>
        <v>0</v>
      </c>
      <c r="J115" s="115">
        <f>'Sampling Data'!I115</f>
        <v>0</v>
      </c>
      <c r="K115" s="115">
        <f>'Sampling Data'!J115</f>
        <v>0</v>
      </c>
      <c r="L115" s="115">
        <f>'Sampling Data'!K115</f>
        <v>0</v>
      </c>
      <c r="M115" s="115">
        <f>'Sampling Data'!L115</f>
        <v>0</v>
      </c>
      <c r="N115" s="115">
        <f>'Sampling Data'!M115</f>
        <v>0</v>
      </c>
      <c r="O115" s="114">
        <f>'Sampling Data'!N115</f>
        <v>0</v>
      </c>
      <c r="P115" s="114">
        <f>'Sampling Data'!O115</f>
        <v>0</v>
      </c>
      <c r="Q115" s="114">
        <f>'Sampling Data'!P115</f>
        <v>8</v>
      </c>
      <c r="R115" s="114">
        <f>'Sampling Data'!AJ115</f>
        <v>0</v>
      </c>
      <c r="S115" s="116"/>
      <c r="T115" s="116"/>
      <c r="U115" s="117"/>
      <c r="V115" s="117"/>
      <c r="W115" s="116"/>
      <c r="X115" s="116"/>
      <c r="Y115" s="116"/>
      <c r="Z115" s="116"/>
      <c r="AA115" s="15"/>
      <c r="AB115" s="15"/>
      <c r="AC115" s="15"/>
      <c r="AD115" s="15"/>
      <c r="AE115" s="118" t="str">
        <f>IF(NOT(ISBLANK(Audit[[#This Row],[Audit Winning Candidate]])), Audit[[#This Row],[Audit Winning Candidate]]-Audit[[#This Row],[Winning Candidate]], "")</f>
        <v/>
      </c>
      <c r="AF115" s="114" t="str">
        <f>IF(NOT(ISBLANK(Audit[[#This Row],[Audit Losing Candidate]])), Audit[[#This Row],[Audit Losing Candidate]]-Audit[[#This Row],[Losing Candidate]], "")</f>
        <v/>
      </c>
      <c r="AG115" s="114" t="str">
        <f>IF(NOT(ISBLANK(Audit[[#This Row],[Audit Candidate 3]])), Audit[[#This Row],[Audit Candidate 3]]-Audit[[#This Row],[Candidate 3]], "")</f>
        <v/>
      </c>
      <c r="AH115" s="114" t="str">
        <f>IF(NOT(ISBLANK(Audit[[#This Row],[Audit Candidate 4]])),Audit[[#This Row],[Audit Candidate 4]]-Audit[[#This Row],[Candidate 4]], "")</f>
        <v/>
      </c>
      <c r="AI115" s="114" t="str">
        <f>IF(NOT(ISBLANK(Audit[[#This Row],[Audit Candidate 5]])), Audit[[#This Row],[Audit Candidate 5]]-Audit[[#This Row],[Candidate 5]], "")</f>
        <v/>
      </c>
      <c r="AJ115" s="114" t="str">
        <f>IF(NOT(ISBLANK(Audit[[#This Row],[Audit Candidate 6]])), Audit[[#This Row],[Audit Candidate 6]]-Audit[[#This Row],[Candidate 6]], "")</f>
        <v/>
      </c>
      <c r="AK115" s="114" t="str">
        <f>IF(NOT(ISBLANK(Audit[[#This Row],[Audit Candidate 7]])), Audit[[#This Row],[Audit Candidate 7]]-Audit[[#This Row],[Candidate 7]], "")</f>
        <v/>
      </c>
      <c r="AL115" s="114" t="str">
        <f>IF(NOT(ISBLANK(Audit[[#This Row],[Audit Candidate 8]])), Audit[[#This Row],[Audit Candidate 8]]-Audit[[#This Row],[Candidate 8]], "")</f>
        <v/>
      </c>
      <c r="AM115" s="114" t="str">
        <f>IF(NOT(ISBLANK(Audit[[#This Row],[Audit Candidate 9]])), Audit[[#This Row],[Audit Candidate 9]]-Audit[[#This Row],[Candidate 9]], "")</f>
        <v/>
      </c>
      <c r="AN115" s="114" t="str">
        <f>IF(NOT(ISBLANK(Audit[[#This Row],[Audit Candidate 10]])), Audit[[#This Row],[Audit Candidate 10]]-Audit[[#This Row],[Candidate 10]], "")</f>
        <v/>
      </c>
      <c r="AO115" s="114" t="str">
        <f>IF(NOT(ISBLANK(Audit[[#This Row],[Audit Candidate 11]])), Audit[[#This Row],[Audit Candidate 11]]-Audit[[#This Row],[Candidate 11]], "")</f>
        <v/>
      </c>
      <c r="AP115" s="114" t="str">
        <f>IF(NOT(ISBLANK(Audit[[#This Row],[Audit Candidate 12]])), Audit[[#This Row],[Audit Candidate 12]]-Audit[[#This Row],[Candidate 12]], "")</f>
        <v/>
      </c>
      <c r="AQ115" s="114">
        <f>SUMIF(Audit[[#This Row],[Difference Winner]:[Difference Candidate 12]], "&gt;0")</f>
        <v>0</v>
      </c>
      <c r="AR115" s="114">
        <f>SUM(Audit[[#This Row],[Difference Winner]:[Difference Candidate 12]])</f>
        <v>0</v>
      </c>
      <c r="AS115" s="114">
        <f>IF(Audit[[#This Row],[Times p Drawn - With Replacement]]&gt;0, IF(Audit[[#This Row],[Canceled Differences]]&lt;0, Audit[[#This Row],[Max Differences]]+ABS(Audit[[#This Row],[Canceled Differences]]), Audit[[#This Row],[Max Differences]]), 0)</f>
        <v>0</v>
      </c>
      <c r="AT115" s="114">
        <f>'Sampling Data'!AB115</f>
        <v>8.2169268693508624E-4</v>
      </c>
      <c r="AU115" s="114">
        <f>IF(
      SUM(Audit[[#This Row],[Audit Losing Candidate]:[Audit Candidate 12]])
      &lt;&gt;0,
      (Audit[[#This Row],[Winning Candidate]]-Audit[[#This Row],[Losing Candidate]]-(Audit[[#This Row],[Audit Winning Candidate]]-Audit[[#This Row],[Audit Losing Candidate]]))/(Audit[[#Totals],[Winning Candidate]]-Audit[[#Totals],[Losing Candidate]]),
      0
)</f>
        <v>0</v>
      </c>
      <c r="AV1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5" s="114">
        <f>IF(Audit[[#This Row],[Max Relative Error (ep)]] = 0, 0, Audit[[#This Row],[Max Relative Error (ep)]]/Audit[[#This Row],[Error Bound (up) - Max. possible relative overstatement]])</f>
        <v>0</v>
      </c>
      <c r="BH1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5" s="114">
        <f t="shared" si="2"/>
        <v>1</v>
      </c>
      <c r="BJ115" s="114">
        <f>PRODUCT($BI$5:BI115)</f>
        <v>0.20973752198051165</v>
      </c>
      <c r="BK115" s="112">
        <f>1 - Audit[[#This Row],[K-M P Value]]</f>
        <v>0.79026247801948835</v>
      </c>
      <c r="BL115" s="114" t="str">
        <f>IF(Audit[[#This Row],[K-M P Value]]&gt;1-'General Info'!$B$12,"Continue", "Stop")</f>
        <v>Continue</v>
      </c>
      <c r="BM115" s="113" t="b">
        <f>IF(Audit[[#This Row],[Status - Continue or stop audit]] = "Continue", TRUE, IF(BL114 = "Continue", TRUE, FALSE))</f>
        <v>1</v>
      </c>
      <c r="BN115" s="113"/>
    </row>
    <row r="116" spans="1:66" ht="15" hidden="1" customHeight="1" x14ac:dyDescent="0.35">
      <c r="A116" s="114" t="str">
        <f>'Sampling Data'!AI116</f>
        <v/>
      </c>
      <c r="B116" s="114" t="str">
        <f>'Sampling Data'!A116</f>
        <v>1702 CIN 17-B   (AV)</v>
      </c>
      <c r="C116" s="114">
        <f>'Sampling Data'!B116</f>
        <v>18</v>
      </c>
      <c r="D116" s="114">
        <f>'Sampling Data'!C116</f>
        <v>0</v>
      </c>
      <c r="E116" s="115">
        <f>'Sampling Data'!D116</f>
        <v>0</v>
      </c>
      <c r="F116" s="115">
        <f>'Sampling Data'!E116</f>
        <v>0</v>
      </c>
      <c r="G116" s="115">
        <f>'Sampling Data'!F116</f>
        <v>0</v>
      </c>
      <c r="H116" s="115">
        <f>'Sampling Data'!G116</f>
        <v>0</v>
      </c>
      <c r="I116" s="115">
        <f>'Sampling Data'!H116</f>
        <v>0</v>
      </c>
      <c r="J116" s="115">
        <f>'Sampling Data'!I116</f>
        <v>0</v>
      </c>
      <c r="K116" s="115">
        <f>'Sampling Data'!J116</f>
        <v>0</v>
      </c>
      <c r="L116" s="115">
        <f>'Sampling Data'!K116</f>
        <v>0</v>
      </c>
      <c r="M116" s="115">
        <f>'Sampling Data'!L116</f>
        <v>0</v>
      </c>
      <c r="N116" s="115">
        <f>'Sampling Data'!M116</f>
        <v>0</v>
      </c>
      <c r="O116" s="114">
        <f>'Sampling Data'!N116</f>
        <v>0</v>
      </c>
      <c r="P116" s="114">
        <f>'Sampling Data'!O116</f>
        <v>0</v>
      </c>
      <c r="Q116" s="114">
        <f>'Sampling Data'!P116</f>
        <v>18</v>
      </c>
      <c r="R116" s="114">
        <f>'Sampling Data'!AJ116</f>
        <v>0</v>
      </c>
      <c r="S116" s="116"/>
      <c r="T116" s="116"/>
      <c r="U116" s="117"/>
      <c r="V116" s="117"/>
      <c r="W116" s="116"/>
      <c r="X116" s="116"/>
      <c r="Y116" s="116"/>
      <c r="Z116" s="116"/>
      <c r="AA116" s="15"/>
      <c r="AB116" s="15"/>
      <c r="AC116" s="15"/>
      <c r="AD116" s="15"/>
      <c r="AE116" s="118" t="str">
        <f>IF(NOT(ISBLANK(Audit[[#This Row],[Audit Winning Candidate]])), Audit[[#This Row],[Audit Winning Candidate]]-Audit[[#This Row],[Winning Candidate]], "")</f>
        <v/>
      </c>
      <c r="AF116" s="114" t="str">
        <f>IF(NOT(ISBLANK(Audit[[#This Row],[Audit Losing Candidate]])), Audit[[#This Row],[Audit Losing Candidate]]-Audit[[#This Row],[Losing Candidate]], "")</f>
        <v/>
      </c>
      <c r="AG116" s="114" t="str">
        <f>IF(NOT(ISBLANK(Audit[[#This Row],[Audit Candidate 3]])), Audit[[#This Row],[Audit Candidate 3]]-Audit[[#This Row],[Candidate 3]], "")</f>
        <v/>
      </c>
      <c r="AH116" s="114" t="str">
        <f>IF(NOT(ISBLANK(Audit[[#This Row],[Audit Candidate 4]])),Audit[[#This Row],[Audit Candidate 4]]-Audit[[#This Row],[Candidate 4]], "")</f>
        <v/>
      </c>
      <c r="AI116" s="114" t="str">
        <f>IF(NOT(ISBLANK(Audit[[#This Row],[Audit Candidate 5]])), Audit[[#This Row],[Audit Candidate 5]]-Audit[[#This Row],[Candidate 5]], "")</f>
        <v/>
      </c>
      <c r="AJ116" s="114" t="str">
        <f>IF(NOT(ISBLANK(Audit[[#This Row],[Audit Candidate 6]])), Audit[[#This Row],[Audit Candidate 6]]-Audit[[#This Row],[Candidate 6]], "")</f>
        <v/>
      </c>
      <c r="AK116" s="114" t="str">
        <f>IF(NOT(ISBLANK(Audit[[#This Row],[Audit Candidate 7]])), Audit[[#This Row],[Audit Candidate 7]]-Audit[[#This Row],[Candidate 7]], "")</f>
        <v/>
      </c>
      <c r="AL116" s="114" t="str">
        <f>IF(NOT(ISBLANK(Audit[[#This Row],[Audit Candidate 8]])), Audit[[#This Row],[Audit Candidate 8]]-Audit[[#This Row],[Candidate 8]], "")</f>
        <v/>
      </c>
      <c r="AM116" s="114" t="str">
        <f>IF(NOT(ISBLANK(Audit[[#This Row],[Audit Candidate 9]])), Audit[[#This Row],[Audit Candidate 9]]-Audit[[#This Row],[Candidate 9]], "")</f>
        <v/>
      </c>
      <c r="AN116" s="114" t="str">
        <f>IF(NOT(ISBLANK(Audit[[#This Row],[Audit Candidate 10]])), Audit[[#This Row],[Audit Candidate 10]]-Audit[[#This Row],[Candidate 10]], "")</f>
        <v/>
      </c>
      <c r="AO116" s="114" t="str">
        <f>IF(NOT(ISBLANK(Audit[[#This Row],[Audit Candidate 11]])), Audit[[#This Row],[Audit Candidate 11]]-Audit[[#This Row],[Candidate 11]], "")</f>
        <v/>
      </c>
      <c r="AP116" s="114" t="str">
        <f>IF(NOT(ISBLANK(Audit[[#This Row],[Audit Candidate 12]])), Audit[[#This Row],[Audit Candidate 12]]-Audit[[#This Row],[Candidate 12]], "")</f>
        <v/>
      </c>
      <c r="AQ116" s="114">
        <f>SUMIF(Audit[[#This Row],[Difference Winner]:[Difference Candidate 12]], "&gt;0")</f>
        <v>0</v>
      </c>
      <c r="AR116" s="114">
        <f>SUM(Audit[[#This Row],[Difference Winner]:[Difference Candidate 12]])</f>
        <v>0</v>
      </c>
      <c r="AS116" s="114">
        <f>IF(Audit[[#This Row],[Times p Drawn - With Replacement]]&gt;0, IF(Audit[[#This Row],[Canceled Differences]]&lt;0, Audit[[#This Row],[Max Differences]]+ABS(Audit[[#This Row],[Canceled Differences]]), Audit[[#This Row],[Max Differences]]), 0)</f>
        <v>0</v>
      </c>
      <c r="AT116" s="114">
        <f>'Sampling Data'!AB116</f>
        <v>2.2754566715125464E-3</v>
      </c>
      <c r="AU116" s="114">
        <f>IF(
      SUM(Audit[[#This Row],[Audit Losing Candidate]:[Audit Candidate 12]])
      &lt;&gt;0,
      (Audit[[#This Row],[Winning Candidate]]-Audit[[#This Row],[Losing Candidate]]-(Audit[[#This Row],[Audit Winning Candidate]]-Audit[[#This Row],[Audit Losing Candidate]]))/(Audit[[#Totals],[Winning Candidate]]-Audit[[#Totals],[Losing Candidate]]),
      0
)</f>
        <v>0</v>
      </c>
      <c r="AV1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6" s="114">
        <f>IF(Audit[[#This Row],[Max Relative Error (ep)]] = 0, 0, Audit[[#This Row],[Max Relative Error (ep)]]/Audit[[#This Row],[Error Bound (up) - Max. possible relative overstatement]])</f>
        <v>0</v>
      </c>
      <c r="BH1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6" s="114">
        <f t="shared" si="2"/>
        <v>1</v>
      </c>
      <c r="BJ116" s="114">
        <f>PRODUCT($BI$5:BI116)</f>
        <v>0.20973752198051165</v>
      </c>
      <c r="BK116" s="112">
        <f>1 - Audit[[#This Row],[K-M P Value]]</f>
        <v>0.79026247801948835</v>
      </c>
      <c r="BL116" s="114" t="str">
        <f>IF(Audit[[#This Row],[K-M P Value]]&gt;1-'General Info'!$B$12,"Continue", "Stop")</f>
        <v>Continue</v>
      </c>
      <c r="BM116" s="113" t="b">
        <f>IF(Audit[[#This Row],[Status - Continue or stop audit]] = "Continue", TRUE, IF(BL115 = "Continue", TRUE, FALSE))</f>
        <v>1</v>
      </c>
      <c r="BN116" s="113"/>
    </row>
    <row r="117" spans="1:66" ht="15" hidden="1" customHeight="1" x14ac:dyDescent="0.35">
      <c r="A117" s="114" t="str">
        <f>'Sampling Data'!AI117</f>
        <v/>
      </c>
      <c r="B117" s="114" t="str">
        <f>'Sampling Data'!A117</f>
        <v>1703 CIN 17-C   (AV)</v>
      </c>
      <c r="C117" s="114">
        <f>'Sampling Data'!B117</f>
        <v>5</v>
      </c>
      <c r="D117" s="114">
        <f>'Sampling Data'!C117</f>
        <v>1</v>
      </c>
      <c r="E117" s="115">
        <f>'Sampling Data'!D117</f>
        <v>0</v>
      </c>
      <c r="F117" s="115">
        <f>'Sampling Data'!E117</f>
        <v>0</v>
      </c>
      <c r="G117" s="115">
        <f>'Sampling Data'!F117</f>
        <v>0</v>
      </c>
      <c r="H117" s="115">
        <f>'Sampling Data'!G117</f>
        <v>0</v>
      </c>
      <c r="I117" s="115">
        <f>'Sampling Data'!H117</f>
        <v>0</v>
      </c>
      <c r="J117" s="115">
        <f>'Sampling Data'!I117</f>
        <v>0</v>
      </c>
      <c r="K117" s="115">
        <f>'Sampling Data'!J117</f>
        <v>0</v>
      </c>
      <c r="L117" s="115">
        <f>'Sampling Data'!K117</f>
        <v>0</v>
      </c>
      <c r="M117" s="115">
        <f>'Sampling Data'!L117</f>
        <v>0</v>
      </c>
      <c r="N117" s="115">
        <f>'Sampling Data'!M117</f>
        <v>0</v>
      </c>
      <c r="O117" s="114">
        <f>'Sampling Data'!N117</f>
        <v>0</v>
      </c>
      <c r="P117" s="114">
        <f>'Sampling Data'!O117</f>
        <v>0</v>
      </c>
      <c r="Q117" s="114">
        <f>'Sampling Data'!P117</f>
        <v>6</v>
      </c>
      <c r="R117" s="114">
        <f>'Sampling Data'!AJ117</f>
        <v>0</v>
      </c>
      <c r="S117" s="116"/>
      <c r="T117" s="116"/>
      <c r="U117" s="117"/>
      <c r="V117" s="117"/>
      <c r="W117" s="116"/>
      <c r="X117" s="116"/>
      <c r="Y117" s="116"/>
      <c r="Z117" s="116"/>
      <c r="AA117" s="15"/>
      <c r="AB117" s="15"/>
      <c r="AC117" s="15"/>
      <c r="AD117" s="15"/>
      <c r="AE117" s="118" t="str">
        <f>IF(NOT(ISBLANK(Audit[[#This Row],[Audit Winning Candidate]])), Audit[[#This Row],[Audit Winning Candidate]]-Audit[[#This Row],[Winning Candidate]], "")</f>
        <v/>
      </c>
      <c r="AF117" s="114" t="str">
        <f>IF(NOT(ISBLANK(Audit[[#This Row],[Audit Losing Candidate]])), Audit[[#This Row],[Audit Losing Candidate]]-Audit[[#This Row],[Losing Candidate]], "")</f>
        <v/>
      </c>
      <c r="AG117" s="114" t="str">
        <f>IF(NOT(ISBLANK(Audit[[#This Row],[Audit Candidate 3]])), Audit[[#This Row],[Audit Candidate 3]]-Audit[[#This Row],[Candidate 3]], "")</f>
        <v/>
      </c>
      <c r="AH117" s="114" t="str">
        <f>IF(NOT(ISBLANK(Audit[[#This Row],[Audit Candidate 4]])),Audit[[#This Row],[Audit Candidate 4]]-Audit[[#This Row],[Candidate 4]], "")</f>
        <v/>
      </c>
      <c r="AI117" s="114" t="str">
        <f>IF(NOT(ISBLANK(Audit[[#This Row],[Audit Candidate 5]])), Audit[[#This Row],[Audit Candidate 5]]-Audit[[#This Row],[Candidate 5]], "")</f>
        <v/>
      </c>
      <c r="AJ117" s="114" t="str">
        <f>IF(NOT(ISBLANK(Audit[[#This Row],[Audit Candidate 6]])), Audit[[#This Row],[Audit Candidate 6]]-Audit[[#This Row],[Candidate 6]], "")</f>
        <v/>
      </c>
      <c r="AK117" s="114" t="str">
        <f>IF(NOT(ISBLANK(Audit[[#This Row],[Audit Candidate 7]])), Audit[[#This Row],[Audit Candidate 7]]-Audit[[#This Row],[Candidate 7]], "")</f>
        <v/>
      </c>
      <c r="AL117" s="114" t="str">
        <f>IF(NOT(ISBLANK(Audit[[#This Row],[Audit Candidate 8]])), Audit[[#This Row],[Audit Candidate 8]]-Audit[[#This Row],[Candidate 8]], "")</f>
        <v/>
      </c>
      <c r="AM117" s="114" t="str">
        <f>IF(NOT(ISBLANK(Audit[[#This Row],[Audit Candidate 9]])), Audit[[#This Row],[Audit Candidate 9]]-Audit[[#This Row],[Candidate 9]], "")</f>
        <v/>
      </c>
      <c r="AN117" s="114" t="str">
        <f>IF(NOT(ISBLANK(Audit[[#This Row],[Audit Candidate 10]])), Audit[[#This Row],[Audit Candidate 10]]-Audit[[#This Row],[Candidate 10]], "")</f>
        <v/>
      </c>
      <c r="AO117" s="114" t="str">
        <f>IF(NOT(ISBLANK(Audit[[#This Row],[Audit Candidate 11]])), Audit[[#This Row],[Audit Candidate 11]]-Audit[[#This Row],[Candidate 11]], "")</f>
        <v/>
      </c>
      <c r="AP117" s="114" t="str">
        <f>IF(NOT(ISBLANK(Audit[[#This Row],[Audit Candidate 12]])), Audit[[#This Row],[Audit Candidate 12]]-Audit[[#This Row],[Candidate 12]], "")</f>
        <v/>
      </c>
      <c r="AQ117" s="114">
        <f>SUMIF(Audit[[#This Row],[Difference Winner]:[Difference Candidate 12]], "&gt;0")</f>
        <v>0</v>
      </c>
      <c r="AR117" s="114">
        <f>SUM(Audit[[#This Row],[Difference Winner]:[Difference Candidate 12]])</f>
        <v>0</v>
      </c>
      <c r="AS117" s="114">
        <f>IF(Audit[[#This Row],[Times p Drawn - With Replacement]]&gt;0, IF(Audit[[#This Row],[Canceled Differences]]&lt;0, Audit[[#This Row],[Max Differences]]+ABS(Audit[[#This Row],[Canceled Differences]]), Audit[[#This Row],[Max Differences]]), 0)</f>
        <v>0</v>
      </c>
      <c r="AT117" s="114">
        <f>'Sampling Data'!AB117</f>
        <v>6.3207129764237407E-4</v>
      </c>
      <c r="AU117" s="114">
        <f>IF(
      SUM(Audit[[#This Row],[Audit Losing Candidate]:[Audit Candidate 12]])
      &lt;&gt;0,
      (Audit[[#This Row],[Winning Candidate]]-Audit[[#This Row],[Losing Candidate]]-(Audit[[#This Row],[Audit Winning Candidate]]-Audit[[#This Row],[Audit Losing Candidate]]))/(Audit[[#Totals],[Winning Candidate]]-Audit[[#Totals],[Losing Candidate]]),
      0
)</f>
        <v>0</v>
      </c>
      <c r="AV1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7" s="114">
        <f>IF(Audit[[#This Row],[Max Relative Error (ep)]] = 0, 0, Audit[[#This Row],[Max Relative Error (ep)]]/Audit[[#This Row],[Error Bound (up) - Max. possible relative overstatement]])</f>
        <v>0</v>
      </c>
      <c r="BH1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7" s="114">
        <f t="shared" si="2"/>
        <v>1</v>
      </c>
      <c r="BJ117" s="114">
        <f>PRODUCT($BI$5:BI117)</f>
        <v>0.20973752198051165</v>
      </c>
      <c r="BK117" s="112">
        <f>1 - Audit[[#This Row],[K-M P Value]]</f>
        <v>0.79026247801948835</v>
      </c>
      <c r="BL117" s="114" t="str">
        <f>IF(Audit[[#This Row],[K-M P Value]]&gt;1-'General Info'!$B$12,"Continue", "Stop")</f>
        <v>Continue</v>
      </c>
      <c r="BM117" s="113" t="b">
        <f>IF(Audit[[#This Row],[Status - Continue or stop audit]] = "Continue", TRUE, IF(BL116 = "Continue", TRUE, FALSE))</f>
        <v>1</v>
      </c>
      <c r="BN117" s="113"/>
    </row>
    <row r="118" spans="1:66" ht="15" hidden="1" customHeight="1" x14ac:dyDescent="0.35">
      <c r="A118" s="114" t="str">
        <f>'Sampling Data'!AI118</f>
        <v/>
      </c>
      <c r="B118" s="114" t="str">
        <f>'Sampling Data'!A118</f>
        <v>1801 CIN 18-A   (AV)</v>
      </c>
      <c r="C118" s="114">
        <f>'Sampling Data'!B118</f>
        <v>15</v>
      </c>
      <c r="D118" s="114">
        <f>'Sampling Data'!C118</f>
        <v>1</v>
      </c>
      <c r="E118" s="115">
        <f>'Sampling Data'!D118</f>
        <v>0</v>
      </c>
      <c r="F118" s="115">
        <f>'Sampling Data'!E118</f>
        <v>0</v>
      </c>
      <c r="G118" s="115">
        <f>'Sampling Data'!F118</f>
        <v>0</v>
      </c>
      <c r="H118" s="115">
        <f>'Sampling Data'!G118</f>
        <v>0</v>
      </c>
      <c r="I118" s="115">
        <f>'Sampling Data'!H118</f>
        <v>0</v>
      </c>
      <c r="J118" s="115">
        <f>'Sampling Data'!I118</f>
        <v>0</v>
      </c>
      <c r="K118" s="115">
        <f>'Sampling Data'!J118</f>
        <v>0</v>
      </c>
      <c r="L118" s="115">
        <f>'Sampling Data'!K118</f>
        <v>0</v>
      </c>
      <c r="M118" s="115">
        <f>'Sampling Data'!L118</f>
        <v>0</v>
      </c>
      <c r="N118" s="115">
        <f>'Sampling Data'!M118</f>
        <v>0</v>
      </c>
      <c r="O118" s="114">
        <f>'Sampling Data'!N118</f>
        <v>0</v>
      </c>
      <c r="P118" s="114">
        <f>'Sampling Data'!O118</f>
        <v>0</v>
      </c>
      <c r="Q118" s="114">
        <f>'Sampling Data'!P118</f>
        <v>16</v>
      </c>
      <c r="R118" s="114">
        <f>'Sampling Data'!AJ118</f>
        <v>0</v>
      </c>
      <c r="S118" s="116"/>
      <c r="T118" s="116"/>
      <c r="U118" s="117"/>
      <c r="V118" s="117"/>
      <c r="W118" s="116"/>
      <c r="X118" s="116"/>
      <c r="Y118" s="116"/>
      <c r="Z118" s="116"/>
      <c r="AA118" s="15"/>
      <c r="AB118" s="15"/>
      <c r="AC118" s="15"/>
      <c r="AD118" s="15"/>
      <c r="AE118" s="118" t="str">
        <f>IF(NOT(ISBLANK(Audit[[#This Row],[Audit Winning Candidate]])), Audit[[#This Row],[Audit Winning Candidate]]-Audit[[#This Row],[Winning Candidate]], "")</f>
        <v/>
      </c>
      <c r="AF118" s="114" t="str">
        <f>IF(NOT(ISBLANK(Audit[[#This Row],[Audit Losing Candidate]])), Audit[[#This Row],[Audit Losing Candidate]]-Audit[[#This Row],[Losing Candidate]], "")</f>
        <v/>
      </c>
      <c r="AG118" s="114" t="str">
        <f>IF(NOT(ISBLANK(Audit[[#This Row],[Audit Candidate 3]])), Audit[[#This Row],[Audit Candidate 3]]-Audit[[#This Row],[Candidate 3]], "")</f>
        <v/>
      </c>
      <c r="AH118" s="114" t="str">
        <f>IF(NOT(ISBLANK(Audit[[#This Row],[Audit Candidate 4]])),Audit[[#This Row],[Audit Candidate 4]]-Audit[[#This Row],[Candidate 4]], "")</f>
        <v/>
      </c>
      <c r="AI118" s="114" t="str">
        <f>IF(NOT(ISBLANK(Audit[[#This Row],[Audit Candidate 5]])), Audit[[#This Row],[Audit Candidate 5]]-Audit[[#This Row],[Candidate 5]], "")</f>
        <v/>
      </c>
      <c r="AJ118" s="114" t="str">
        <f>IF(NOT(ISBLANK(Audit[[#This Row],[Audit Candidate 6]])), Audit[[#This Row],[Audit Candidate 6]]-Audit[[#This Row],[Candidate 6]], "")</f>
        <v/>
      </c>
      <c r="AK118" s="114" t="str">
        <f>IF(NOT(ISBLANK(Audit[[#This Row],[Audit Candidate 7]])), Audit[[#This Row],[Audit Candidate 7]]-Audit[[#This Row],[Candidate 7]], "")</f>
        <v/>
      </c>
      <c r="AL118" s="114" t="str">
        <f>IF(NOT(ISBLANK(Audit[[#This Row],[Audit Candidate 8]])), Audit[[#This Row],[Audit Candidate 8]]-Audit[[#This Row],[Candidate 8]], "")</f>
        <v/>
      </c>
      <c r="AM118" s="114" t="str">
        <f>IF(NOT(ISBLANK(Audit[[#This Row],[Audit Candidate 9]])), Audit[[#This Row],[Audit Candidate 9]]-Audit[[#This Row],[Candidate 9]], "")</f>
        <v/>
      </c>
      <c r="AN118" s="114" t="str">
        <f>IF(NOT(ISBLANK(Audit[[#This Row],[Audit Candidate 10]])), Audit[[#This Row],[Audit Candidate 10]]-Audit[[#This Row],[Candidate 10]], "")</f>
        <v/>
      </c>
      <c r="AO118" s="114" t="str">
        <f>IF(NOT(ISBLANK(Audit[[#This Row],[Audit Candidate 11]])), Audit[[#This Row],[Audit Candidate 11]]-Audit[[#This Row],[Candidate 11]], "")</f>
        <v/>
      </c>
      <c r="AP118" s="114" t="str">
        <f>IF(NOT(ISBLANK(Audit[[#This Row],[Audit Candidate 12]])), Audit[[#This Row],[Audit Candidate 12]]-Audit[[#This Row],[Candidate 12]], "")</f>
        <v/>
      </c>
      <c r="AQ118" s="114">
        <f>SUMIF(Audit[[#This Row],[Difference Winner]:[Difference Candidate 12]], "&gt;0")</f>
        <v>0</v>
      </c>
      <c r="AR118" s="114">
        <f>SUM(Audit[[#This Row],[Difference Winner]:[Difference Candidate 12]])</f>
        <v>0</v>
      </c>
      <c r="AS118" s="114">
        <f>IF(Audit[[#This Row],[Times p Drawn - With Replacement]]&gt;0, IF(Audit[[#This Row],[Canceled Differences]]&lt;0, Audit[[#This Row],[Max Differences]]+ABS(Audit[[#This Row],[Canceled Differences]]), Audit[[#This Row],[Max Differences]]), 0)</f>
        <v>0</v>
      </c>
      <c r="AT118" s="114">
        <f>'Sampling Data'!AB118</f>
        <v>1.8962138929271221E-3</v>
      </c>
      <c r="AU118" s="114">
        <f>IF(
      SUM(Audit[[#This Row],[Audit Losing Candidate]:[Audit Candidate 12]])
      &lt;&gt;0,
      (Audit[[#This Row],[Winning Candidate]]-Audit[[#This Row],[Losing Candidate]]-(Audit[[#This Row],[Audit Winning Candidate]]-Audit[[#This Row],[Audit Losing Candidate]]))/(Audit[[#Totals],[Winning Candidate]]-Audit[[#Totals],[Losing Candidate]]),
      0
)</f>
        <v>0</v>
      </c>
      <c r="AV1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8" s="114">
        <f>IF(Audit[[#This Row],[Max Relative Error (ep)]] = 0, 0, Audit[[#This Row],[Max Relative Error (ep)]]/Audit[[#This Row],[Error Bound (up) - Max. possible relative overstatement]])</f>
        <v>0</v>
      </c>
      <c r="BH1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8" s="114">
        <f t="shared" si="2"/>
        <v>1</v>
      </c>
      <c r="BJ118" s="114">
        <f>PRODUCT($BI$5:BI118)</f>
        <v>0.20973752198051165</v>
      </c>
      <c r="BK118" s="112">
        <f>1 - Audit[[#This Row],[K-M P Value]]</f>
        <v>0.79026247801948835</v>
      </c>
      <c r="BL118" s="114" t="str">
        <f>IF(Audit[[#This Row],[K-M P Value]]&gt;1-'General Info'!$B$12,"Continue", "Stop")</f>
        <v>Continue</v>
      </c>
      <c r="BM118" s="113" t="b">
        <f>IF(Audit[[#This Row],[Status - Continue or stop audit]] = "Continue", TRUE, IF(BL117 = "Continue", TRUE, FALSE))</f>
        <v>1</v>
      </c>
      <c r="BN118" s="113"/>
    </row>
    <row r="119" spans="1:66" ht="15" hidden="1" customHeight="1" x14ac:dyDescent="0.35">
      <c r="A119" s="114" t="str">
        <f>'Sampling Data'!AI119</f>
        <v/>
      </c>
      <c r="B119" s="114" t="str">
        <f>'Sampling Data'!A119</f>
        <v>1802 CIN 18-B   (AV)</v>
      </c>
      <c r="C119" s="114">
        <f>'Sampling Data'!B119</f>
        <v>6</v>
      </c>
      <c r="D119" s="114">
        <f>'Sampling Data'!C119</f>
        <v>0</v>
      </c>
      <c r="E119" s="115">
        <f>'Sampling Data'!D119</f>
        <v>0</v>
      </c>
      <c r="F119" s="115">
        <f>'Sampling Data'!E119</f>
        <v>0</v>
      </c>
      <c r="G119" s="115">
        <f>'Sampling Data'!F119</f>
        <v>0</v>
      </c>
      <c r="H119" s="115">
        <f>'Sampling Data'!G119</f>
        <v>0</v>
      </c>
      <c r="I119" s="115">
        <f>'Sampling Data'!H119</f>
        <v>0</v>
      </c>
      <c r="J119" s="115">
        <f>'Sampling Data'!I119</f>
        <v>0</v>
      </c>
      <c r="K119" s="115">
        <f>'Sampling Data'!J119</f>
        <v>0</v>
      </c>
      <c r="L119" s="115">
        <f>'Sampling Data'!K119</f>
        <v>0</v>
      </c>
      <c r="M119" s="115">
        <f>'Sampling Data'!L119</f>
        <v>0</v>
      </c>
      <c r="N119" s="115">
        <f>'Sampling Data'!M119</f>
        <v>0</v>
      </c>
      <c r="O119" s="114">
        <f>'Sampling Data'!N119</f>
        <v>0</v>
      </c>
      <c r="P119" s="114">
        <f>'Sampling Data'!O119</f>
        <v>0</v>
      </c>
      <c r="Q119" s="114">
        <f>'Sampling Data'!P119</f>
        <v>6</v>
      </c>
      <c r="R119" s="114">
        <f>'Sampling Data'!AJ119</f>
        <v>0</v>
      </c>
      <c r="S119" s="116"/>
      <c r="T119" s="116"/>
      <c r="U119" s="117"/>
      <c r="V119" s="117"/>
      <c r="W119" s="116"/>
      <c r="X119" s="116"/>
      <c r="Y119" s="116"/>
      <c r="Z119" s="116"/>
      <c r="AA119" s="15"/>
      <c r="AB119" s="15"/>
      <c r="AC119" s="15"/>
      <c r="AD119" s="15"/>
      <c r="AE119" s="118" t="str">
        <f>IF(NOT(ISBLANK(Audit[[#This Row],[Audit Winning Candidate]])), Audit[[#This Row],[Audit Winning Candidate]]-Audit[[#This Row],[Winning Candidate]], "")</f>
        <v/>
      </c>
      <c r="AF119" s="114" t="str">
        <f>IF(NOT(ISBLANK(Audit[[#This Row],[Audit Losing Candidate]])), Audit[[#This Row],[Audit Losing Candidate]]-Audit[[#This Row],[Losing Candidate]], "")</f>
        <v/>
      </c>
      <c r="AG119" s="114" t="str">
        <f>IF(NOT(ISBLANK(Audit[[#This Row],[Audit Candidate 3]])), Audit[[#This Row],[Audit Candidate 3]]-Audit[[#This Row],[Candidate 3]], "")</f>
        <v/>
      </c>
      <c r="AH119" s="114" t="str">
        <f>IF(NOT(ISBLANK(Audit[[#This Row],[Audit Candidate 4]])),Audit[[#This Row],[Audit Candidate 4]]-Audit[[#This Row],[Candidate 4]], "")</f>
        <v/>
      </c>
      <c r="AI119" s="114" t="str">
        <f>IF(NOT(ISBLANK(Audit[[#This Row],[Audit Candidate 5]])), Audit[[#This Row],[Audit Candidate 5]]-Audit[[#This Row],[Candidate 5]], "")</f>
        <v/>
      </c>
      <c r="AJ119" s="114" t="str">
        <f>IF(NOT(ISBLANK(Audit[[#This Row],[Audit Candidate 6]])), Audit[[#This Row],[Audit Candidate 6]]-Audit[[#This Row],[Candidate 6]], "")</f>
        <v/>
      </c>
      <c r="AK119" s="114" t="str">
        <f>IF(NOT(ISBLANK(Audit[[#This Row],[Audit Candidate 7]])), Audit[[#This Row],[Audit Candidate 7]]-Audit[[#This Row],[Candidate 7]], "")</f>
        <v/>
      </c>
      <c r="AL119" s="114" t="str">
        <f>IF(NOT(ISBLANK(Audit[[#This Row],[Audit Candidate 8]])), Audit[[#This Row],[Audit Candidate 8]]-Audit[[#This Row],[Candidate 8]], "")</f>
        <v/>
      </c>
      <c r="AM119" s="114" t="str">
        <f>IF(NOT(ISBLANK(Audit[[#This Row],[Audit Candidate 9]])), Audit[[#This Row],[Audit Candidate 9]]-Audit[[#This Row],[Candidate 9]], "")</f>
        <v/>
      </c>
      <c r="AN119" s="114" t="str">
        <f>IF(NOT(ISBLANK(Audit[[#This Row],[Audit Candidate 10]])), Audit[[#This Row],[Audit Candidate 10]]-Audit[[#This Row],[Candidate 10]], "")</f>
        <v/>
      </c>
      <c r="AO119" s="114" t="str">
        <f>IF(NOT(ISBLANK(Audit[[#This Row],[Audit Candidate 11]])), Audit[[#This Row],[Audit Candidate 11]]-Audit[[#This Row],[Candidate 11]], "")</f>
        <v/>
      </c>
      <c r="AP119" s="114" t="str">
        <f>IF(NOT(ISBLANK(Audit[[#This Row],[Audit Candidate 12]])), Audit[[#This Row],[Audit Candidate 12]]-Audit[[#This Row],[Candidate 12]], "")</f>
        <v/>
      </c>
      <c r="AQ119" s="114">
        <f>SUMIF(Audit[[#This Row],[Difference Winner]:[Difference Candidate 12]], "&gt;0")</f>
        <v>0</v>
      </c>
      <c r="AR119" s="114">
        <f>SUM(Audit[[#This Row],[Difference Winner]:[Difference Candidate 12]])</f>
        <v>0</v>
      </c>
      <c r="AS119" s="114">
        <f>IF(Audit[[#This Row],[Times p Drawn - With Replacement]]&gt;0, IF(Audit[[#This Row],[Canceled Differences]]&lt;0, Audit[[#This Row],[Max Differences]]+ABS(Audit[[#This Row],[Canceled Differences]]), Audit[[#This Row],[Max Differences]]), 0)</f>
        <v>0</v>
      </c>
      <c r="AT119" s="114">
        <f>'Sampling Data'!AB119</f>
        <v>7.5848555717084889E-4</v>
      </c>
      <c r="AU119" s="114">
        <f>IF(
      SUM(Audit[[#This Row],[Audit Losing Candidate]:[Audit Candidate 12]])
      &lt;&gt;0,
      (Audit[[#This Row],[Winning Candidate]]-Audit[[#This Row],[Losing Candidate]]-(Audit[[#This Row],[Audit Winning Candidate]]-Audit[[#This Row],[Audit Losing Candidate]]))/(Audit[[#Totals],[Winning Candidate]]-Audit[[#Totals],[Losing Candidate]]),
      0
)</f>
        <v>0</v>
      </c>
      <c r="AV1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9" s="114">
        <f>IF(Audit[[#This Row],[Max Relative Error (ep)]] = 0, 0, Audit[[#This Row],[Max Relative Error (ep)]]/Audit[[#This Row],[Error Bound (up) - Max. possible relative overstatement]])</f>
        <v>0</v>
      </c>
      <c r="BH1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19" s="114">
        <f t="shared" si="2"/>
        <v>1</v>
      </c>
      <c r="BJ119" s="114">
        <f>PRODUCT($BI$5:BI119)</f>
        <v>0.20973752198051165</v>
      </c>
      <c r="BK119" s="112">
        <f>1 - Audit[[#This Row],[K-M P Value]]</f>
        <v>0.79026247801948835</v>
      </c>
      <c r="BL119" s="114" t="str">
        <f>IF(Audit[[#This Row],[K-M P Value]]&gt;1-'General Info'!$B$12,"Continue", "Stop")</f>
        <v>Continue</v>
      </c>
      <c r="BM119" s="113" t="b">
        <f>IF(Audit[[#This Row],[Status - Continue or stop audit]] = "Continue", TRUE, IF(BL118 = "Continue", TRUE, FALSE))</f>
        <v>1</v>
      </c>
      <c r="BN119" s="113"/>
    </row>
    <row r="120" spans="1:66" ht="15" hidden="1" customHeight="1" x14ac:dyDescent="0.35">
      <c r="A120" s="114" t="str">
        <f>'Sampling Data'!AI120</f>
        <v/>
      </c>
      <c r="B120" s="114" t="str">
        <f>'Sampling Data'!A120</f>
        <v>1901 CIN 19-A   (AV)</v>
      </c>
      <c r="C120" s="114">
        <f>'Sampling Data'!B120</f>
        <v>6</v>
      </c>
      <c r="D120" s="114">
        <f>'Sampling Data'!C120</f>
        <v>0</v>
      </c>
      <c r="E120" s="115">
        <f>'Sampling Data'!D120</f>
        <v>1</v>
      </c>
      <c r="F120" s="115">
        <f>'Sampling Data'!E120</f>
        <v>0</v>
      </c>
      <c r="G120" s="115">
        <f>'Sampling Data'!F120</f>
        <v>0</v>
      </c>
      <c r="H120" s="115">
        <f>'Sampling Data'!G120</f>
        <v>0</v>
      </c>
      <c r="I120" s="115">
        <f>'Sampling Data'!H120</f>
        <v>0</v>
      </c>
      <c r="J120" s="115">
        <f>'Sampling Data'!I120</f>
        <v>0</v>
      </c>
      <c r="K120" s="115">
        <f>'Sampling Data'!J120</f>
        <v>0</v>
      </c>
      <c r="L120" s="115">
        <f>'Sampling Data'!K120</f>
        <v>0</v>
      </c>
      <c r="M120" s="115">
        <f>'Sampling Data'!L120</f>
        <v>0</v>
      </c>
      <c r="N120" s="115">
        <f>'Sampling Data'!M120</f>
        <v>0</v>
      </c>
      <c r="O120" s="114">
        <f>'Sampling Data'!N120</f>
        <v>0</v>
      </c>
      <c r="P120" s="114">
        <f>'Sampling Data'!O120</f>
        <v>0</v>
      </c>
      <c r="Q120" s="114">
        <f>'Sampling Data'!P120</f>
        <v>7</v>
      </c>
      <c r="R120" s="114">
        <f>'Sampling Data'!AJ120</f>
        <v>0</v>
      </c>
      <c r="S120" s="116"/>
      <c r="T120" s="116"/>
      <c r="U120" s="117"/>
      <c r="V120" s="117"/>
      <c r="W120" s="116"/>
      <c r="X120" s="116"/>
      <c r="Y120" s="116"/>
      <c r="Z120" s="116"/>
      <c r="AA120" s="15"/>
      <c r="AB120" s="15"/>
      <c r="AC120" s="15"/>
      <c r="AD120" s="15"/>
      <c r="AE120" s="118" t="str">
        <f>IF(NOT(ISBLANK(Audit[[#This Row],[Audit Winning Candidate]])), Audit[[#This Row],[Audit Winning Candidate]]-Audit[[#This Row],[Winning Candidate]], "")</f>
        <v/>
      </c>
      <c r="AF120" s="114" t="str">
        <f>IF(NOT(ISBLANK(Audit[[#This Row],[Audit Losing Candidate]])), Audit[[#This Row],[Audit Losing Candidate]]-Audit[[#This Row],[Losing Candidate]], "")</f>
        <v/>
      </c>
      <c r="AG120" s="114" t="str">
        <f>IF(NOT(ISBLANK(Audit[[#This Row],[Audit Candidate 3]])), Audit[[#This Row],[Audit Candidate 3]]-Audit[[#This Row],[Candidate 3]], "")</f>
        <v/>
      </c>
      <c r="AH120" s="114" t="str">
        <f>IF(NOT(ISBLANK(Audit[[#This Row],[Audit Candidate 4]])),Audit[[#This Row],[Audit Candidate 4]]-Audit[[#This Row],[Candidate 4]], "")</f>
        <v/>
      </c>
      <c r="AI120" s="114" t="str">
        <f>IF(NOT(ISBLANK(Audit[[#This Row],[Audit Candidate 5]])), Audit[[#This Row],[Audit Candidate 5]]-Audit[[#This Row],[Candidate 5]], "")</f>
        <v/>
      </c>
      <c r="AJ120" s="114" t="str">
        <f>IF(NOT(ISBLANK(Audit[[#This Row],[Audit Candidate 6]])), Audit[[#This Row],[Audit Candidate 6]]-Audit[[#This Row],[Candidate 6]], "")</f>
        <v/>
      </c>
      <c r="AK120" s="114" t="str">
        <f>IF(NOT(ISBLANK(Audit[[#This Row],[Audit Candidate 7]])), Audit[[#This Row],[Audit Candidate 7]]-Audit[[#This Row],[Candidate 7]], "")</f>
        <v/>
      </c>
      <c r="AL120" s="114" t="str">
        <f>IF(NOT(ISBLANK(Audit[[#This Row],[Audit Candidate 8]])), Audit[[#This Row],[Audit Candidate 8]]-Audit[[#This Row],[Candidate 8]], "")</f>
        <v/>
      </c>
      <c r="AM120" s="114" t="str">
        <f>IF(NOT(ISBLANK(Audit[[#This Row],[Audit Candidate 9]])), Audit[[#This Row],[Audit Candidate 9]]-Audit[[#This Row],[Candidate 9]], "")</f>
        <v/>
      </c>
      <c r="AN120" s="114" t="str">
        <f>IF(NOT(ISBLANK(Audit[[#This Row],[Audit Candidate 10]])), Audit[[#This Row],[Audit Candidate 10]]-Audit[[#This Row],[Candidate 10]], "")</f>
        <v/>
      </c>
      <c r="AO120" s="114" t="str">
        <f>IF(NOT(ISBLANK(Audit[[#This Row],[Audit Candidate 11]])), Audit[[#This Row],[Audit Candidate 11]]-Audit[[#This Row],[Candidate 11]], "")</f>
        <v/>
      </c>
      <c r="AP120" s="114" t="str">
        <f>IF(NOT(ISBLANK(Audit[[#This Row],[Audit Candidate 12]])), Audit[[#This Row],[Audit Candidate 12]]-Audit[[#This Row],[Candidate 12]], "")</f>
        <v/>
      </c>
      <c r="AQ120" s="114">
        <f>SUMIF(Audit[[#This Row],[Difference Winner]:[Difference Candidate 12]], "&gt;0")</f>
        <v>0</v>
      </c>
      <c r="AR120" s="114">
        <f>SUM(Audit[[#This Row],[Difference Winner]:[Difference Candidate 12]])</f>
        <v>0</v>
      </c>
      <c r="AS120" s="114">
        <f>IF(Audit[[#This Row],[Times p Drawn - With Replacement]]&gt;0, IF(Audit[[#This Row],[Canceled Differences]]&lt;0, Audit[[#This Row],[Max Differences]]+ABS(Audit[[#This Row],[Canceled Differences]]), Audit[[#This Row],[Max Differences]]), 0)</f>
        <v>0</v>
      </c>
      <c r="AT120" s="114">
        <f>'Sampling Data'!AB120</f>
        <v>8.2169268693508624E-4</v>
      </c>
      <c r="AU120" s="114">
        <f>IF(
      SUM(Audit[[#This Row],[Audit Losing Candidate]:[Audit Candidate 12]])
      &lt;&gt;0,
      (Audit[[#This Row],[Winning Candidate]]-Audit[[#This Row],[Losing Candidate]]-(Audit[[#This Row],[Audit Winning Candidate]]-Audit[[#This Row],[Audit Losing Candidate]]))/(Audit[[#Totals],[Winning Candidate]]-Audit[[#Totals],[Losing Candidate]]),
      0
)</f>
        <v>0</v>
      </c>
      <c r="AV1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0" s="114">
        <f>IF(Audit[[#This Row],[Max Relative Error (ep)]] = 0, 0, Audit[[#This Row],[Max Relative Error (ep)]]/Audit[[#This Row],[Error Bound (up) - Max. possible relative overstatement]])</f>
        <v>0</v>
      </c>
      <c r="BH1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0" s="114">
        <f t="shared" si="2"/>
        <v>1</v>
      </c>
      <c r="BJ120" s="114">
        <f>PRODUCT($BI$5:BI120)</f>
        <v>0.20973752198051165</v>
      </c>
      <c r="BK120" s="112">
        <f>1 - Audit[[#This Row],[K-M P Value]]</f>
        <v>0.79026247801948835</v>
      </c>
      <c r="BL120" s="114" t="str">
        <f>IF(Audit[[#This Row],[K-M P Value]]&gt;1-'General Info'!$B$12,"Continue", "Stop")</f>
        <v>Continue</v>
      </c>
      <c r="BM120" s="113" t="b">
        <f>IF(Audit[[#This Row],[Status - Continue or stop audit]] = "Continue", TRUE, IF(BL119 = "Continue", TRUE, FALSE))</f>
        <v>1</v>
      </c>
      <c r="BN120" s="113"/>
    </row>
    <row r="121" spans="1:66" ht="15" hidden="1" customHeight="1" x14ac:dyDescent="0.35">
      <c r="A121" s="114" t="str">
        <f>'Sampling Data'!AI121</f>
        <v/>
      </c>
      <c r="B121" s="114" t="str">
        <f>'Sampling Data'!A121</f>
        <v>1902 CIN 19-B   (AV)</v>
      </c>
      <c r="C121" s="114">
        <f>'Sampling Data'!B121</f>
        <v>1</v>
      </c>
      <c r="D121" s="114">
        <f>'Sampling Data'!C121</f>
        <v>5</v>
      </c>
      <c r="E121" s="115">
        <f>'Sampling Data'!D121</f>
        <v>0</v>
      </c>
      <c r="F121" s="115">
        <f>'Sampling Data'!E121</f>
        <v>0</v>
      </c>
      <c r="G121" s="115">
        <f>'Sampling Data'!F121</f>
        <v>0</v>
      </c>
      <c r="H121" s="115">
        <f>'Sampling Data'!G121</f>
        <v>0</v>
      </c>
      <c r="I121" s="115">
        <f>'Sampling Data'!H121</f>
        <v>0</v>
      </c>
      <c r="J121" s="115">
        <f>'Sampling Data'!I121</f>
        <v>0</v>
      </c>
      <c r="K121" s="115">
        <f>'Sampling Data'!J121</f>
        <v>0</v>
      </c>
      <c r="L121" s="115">
        <f>'Sampling Data'!K121</f>
        <v>0</v>
      </c>
      <c r="M121" s="115">
        <f>'Sampling Data'!L121</f>
        <v>0</v>
      </c>
      <c r="N121" s="115">
        <f>'Sampling Data'!M121</f>
        <v>0</v>
      </c>
      <c r="O121" s="114">
        <f>'Sampling Data'!N121</f>
        <v>0</v>
      </c>
      <c r="P121" s="114">
        <f>'Sampling Data'!O121</f>
        <v>0</v>
      </c>
      <c r="Q121" s="114">
        <f>'Sampling Data'!P121</f>
        <v>6</v>
      </c>
      <c r="R121" s="114">
        <f>'Sampling Data'!AJ121</f>
        <v>0</v>
      </c>
      <c r="S121" s="116"/>
      <c r="T121" s="116"/>
      <c r="U121" s="117"/>
      <c r="V121" s="117"/>
      <c r="W121" s="116"/>
      <c r="X121" s="116"/>
      <c r="Y121" s="116"/>
      <c r="Z121" s="116"/>
      <c r="AA121" s="15"/>
      <c r="AB121" s="15"/>
      <c r="AC121" s="15"/>
      <c r="AD121" s="15"/>
      <c r="AE121" s="118" t="str">
        <f>IF(NOT(ISBLANK(Audit[[#This Row],[Audit Winning Candidate]])), Audit[[#This Row],[Audit Winning Candidate]]-Audit[[#This Row],[Winning Candidate]], "")</f>
        <v/>
      </c>
      <c r="AF121" s="114" t="str">
        <f>IF(NOT(ISBLANK(Audit[[#This Row],[Audit Losing Candidate]])), Audit[[#This Row],[Audit Losing Candidate]]-Audit[[#This Row],[Losing Candidate]], "")</f>
        <v/>
      </c>
      <c r="AG121" s="114" t="str">
        <f>IF(NOT(ISBLANK(Audit[[#This Row],[Audit Candidate 3]])), Audit[[#This Row],[Audit Candidate 3]]-Audit[[#This Row],[Candidate 3]], "")</f>
        <v/>
      </c>
      <c r="AH121" s="114" t="str">
        <f>IF(NOT(ISBLANK(Audit[[#This Row],[Audit Candidate 4]])),Audit[[#This Row],[Audit Candidate 4]]-Audit[[#This Row],[Candidate 4]], "")</f>
        <v/>
      </c>
      <c r="AI121" s="114" t="str">
        <f>IF(NOT(ISBLANK(Audit[[#This Row],[Audit Candidate 5]])), Audit[[#This Row],[Audit Candidate 5]]-Audit[[#This Row],[Candidate 5]], "")</f>
        <v/>
      </c>
      <c r="AJ121" s="114" t="str">
        <f>IF(NOT(ISBLANK(Audit[[#This Row],[Audit Candidate 6]])), Audit[[#This Row],[Audit Candidate 6]]-Audit[[#This Row],[Candidate 6]], "")</f>
        <v/>
      </c>
      <c r="AK121" s="114" t="str">
        <f>IF(NOT(ISBLANK(Audit[[#This Row],[Audit Candidate 7]])), Audit[[#This Row],[Audit Candidate 7]]-Audit[[#This Row],[Candidate 7]], "")</f>
        <v/>
      </c>
      <c r="AL121" s="114" t="str">
        <f>IF(NOT(ISBLANK(Audit[[#This Row],[Audit Candidate 8]])), Audit[[#This Row],[Audit Candidate 8]]-Audit[[#This Row],[Candidate 8]], "")</f>
        <v/>
      </c>
      <c r="AM121" s="114" t="str">
        <f>IF(NOT(ISBLANK(Audit[[#This Row],[Audit Candidate 9]])), Audit[[#This Row],[Audit Candidate 9]]-Audit[[#This Row],[Candidate 9]], "")</f>
        <v/>
      </c>
      <c r="AN121" s="114" t="str">
        <f>IF(NOT(ISBLANK(Audit[[#This Row],[Audit Candidate 10]])), Audit[[#This Row],[Audit Candidate 10]]-Audit[[#This Row],[Candidate 10]], "")</f>
        <v/>
      </c>
      <c r="AO121" s="114" t="str">
        <f>IF(NOT(ISBLANK(Audit[[#This Row],[Audit Candidate 11]])), Audit[[#This Row],[Audit Candidate 11]]-Audit[[#This Row],[Candidate 11]], "")</f>
        <v/>
      </c>
      <c r="AP121" s="114" t="str">
        <f>IF(NOT(ISBLANK(Audit[[#This Row],[Audit Candidate 12]])), Audit[[#This Row],[Audit Candidate 12]]-Audit[[#This Row],[Candidate 12]], "")</f>
        <v/>
      </c>
      <c r="AQ121" s="114">
        <f>SUMIF(Audit[[#This Row],[Difference Winner]:[Difference Candidate 12]], "&gt;0")</f>
        <v>0</v>
      </c>
      <c r="AR121" s="114">
        <f>SUM(Audit[[#This Row],[Difference Winner]:[Difference Candidate 12]])</f>
        <v>0</v>
      </c>
      <c r="AS121" s="114">
        <f>IF(Audit[[#This Row],[Times p Drawn - With Replacement]]&gt;0, IF(Audit[[#This Row],[Canceled Differences]]&lt;0, Audit[[#This Row],[Max Differences]]+ABS(Audit[[#This Row],[Canceled Differences]]), Audit[[#This Row],[Max Differences]]), 0)</f>
        <v>0</v>
      </c>
      <c r="AT121" s="114">
        <f>'Sampling Data'!AB121</f>
        <v>3.9512305260781214E-4</v>
      </c>
      <c r="AU121" s="114">
        <f>IF(
      SUM(Audit[[#This Row],[Audit Losing Candidate]:[Audit Candidate 12]])
      &lt;&gt;0,
      (Audit[[#This Row],[Winning Candidate]]-Audit[[#This Row],[Losing Candidate]]-(Audit[[#This Row],[Audit Winning Candidate]]-Audit[[#This Row],[Audit Losing Candidate]]))/(Audit[[#Totals],[Winning Candidate]]-Audit[[#Totals],[Losing Candidate]]),
      0
)</f>
        <v>0</v>
      </c>
      <c r="AV1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1" s="114">
        <f>IF(Audit[[#This Row],[Max Relative Error (ep)]] = 0, 0, Audit[[#This Row],[Max Relative Error (ep)]]/Audit[[#This Row],[Error Bound (up) - Max. possible relative overstatement]])</f>
        <v>0</v>
      </c>
      <c r="BH1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1" s="114">
        <f t="shared" si="2"/>
        <v>1</v>
      </c>
      <c r="BJ121" s="114">
        <f>PRODUCT($BI$5:BI121)</f>
        <v>0.20973752198051165</v>
      </c>
      <c r="BK121" s="112">
        <f>1 - Audit[[#This Row],[K-M P Value]]</f>
        <v>0.79026247801948835</v>
      </c>
      <c r="BL121" s="114" t="str">
        <f>IF(Audit[[#This Row],[K-M P Value]]&gt;1-'General Info'!$B$12,"Continue", "Stop")</f>
        <v>Continue</v>
      </c>
      <c r="BM121" s="113" t="b">
        <f>IF(Audit[[#This Row],[Status - Continue or stop audit]] = "Continue", TRUE, IF(BL120 = "Continue", TRUE, FALSE))</f>
        <v>1</v>
      </c>
      <c r="BN121" s="113"/>
    </row>
    <row r="122" spans="1:66" ht="15" hidden="1" customHeight="1" x14ac:dyDescent="0.35">
      <c r="A122" s="114" t="str">
        <f>'Sampling Data'!AI122</f>
        <v/>
      </c>
      <c r="B122" s="114" t="str">
        <f>'Sampling Data'!A122</f>
        <v>1903 CIN 19-C   (AV)</v>
      </c>
      <c r="C122" s="114">
        <f>'Sampling Data'!B122</f>
        <v>5</v>
      </c>
      <c r="D122" s="114">
        <f>'Sampling Data'!C122</f>
        <v>4</v>
      </c>
      <c r="E122" s="115">
        <f>'Sampling Data'!D122</f>
        <v>3</v>
      </c>
      <c r="F122" s="115">
        <f>'Sampling Data'!E122</f>
        <v>0</v>
      </c>
      <c r="G122" s="115">
        <f>'Sampling Data'!F122</f>
        <v>0</v>
      </c>
      <c r="H122" s="115">
        <f>'Sampling Data'!G122</f>
        <v>0</v>
      </c>
      <c r="I122" s="115">
        <f>'Sampling Data'!H122</f>
        <v>0</v>
      </c>
      <c r="J122" s="115">
        <f>'Sampling Data'!I122</f>
        <v>0</v>
      </c>
      <c r="K122" s="115">
        <f>'Sampling Data'!J122</f>
        <v>0</v>
      </c>
      <c r="L122" s="115">
        <f>'Sampling Data'!K122</f>
        <v>0</v>
      </c>
      <c r="M122" s="115">
        <f>'Sampling Data'!L122</f>
        <v>0</v>
      </c>
      <c r="N122" s="115">
        <f>'Sampling Data'!M122</f>
        <v>0</v>
      </c>
      <c r="O122" s="114">
        <f>'Sampling Data'!N122</f>
        <v>0</v>
      </c>
      <c r="P122" s="114">
        <f>'Sampling Data'!O122</f>
        <v>0</v>
      </c>
      <c r="Q122" s="114">
        <f>'Sampling Data'!P122</f>
        <v>12</v>
      </c>
      <c r="R122" s="114">
        <f>'Sampling Data'!AJ122</f>
        <v>0</v>
      </c>
      <c r="S122" s="116"/>
      <c r="T122" s="116"/>
      <c r="U122" s="117"/>
      <c r="V122" s="117"/>
      <c r="W122" s="116"/>
      <c r="X122" s="116"/>
      <c r="Y122" s="116"/>
      <c r="Z122" s="116"/>
      <c r="AA122" s="15"/>
      <c r="AB122" s="15"/>
      <c r="AC122" s="15"/>
      <c r="AD122" s="15"/>
      <c r="AE122" s="118" t="str">
        <f>IF(NOT(ISBLANK(Audit[[#This Row],[Audit Winning Candidate]])), Audit[[#This Row],[Audit Winning Candidate]]-Audit[[#This Row],[Winning Candidate]], "")</f>
        <v/>
      </c>
      <c r="AF122" s="114" t="str">
        <f>IF(NOT(ISBLANK(Audit[[#This Row],[Audit Losing Candidate]])), Audit[[#This Row],[Audit Losing Candidate]]-Audit[[#This Row],[Losing Candidate]], "")</f>
        <v/>
      </c>
      <c r="AG122" s="114" t="str">
        <f>IF(NOT(ISBLANK(Audit[[#This Row],[Audit Candidate 3]])), Audit[[#This Row],[Audit Candidate 3]]-Audit[[#This Row],[Candidate 3]], "")</f>
        <v/>
      </c>
      <c r="AH122" s="114" t="str">
        <f>IF(NOT(ISBLANK(Audit[[#This Row],[Audit Candidate 4]])),Audit[[#This Row],[Audit Candidate 4]]-Audit[[#This Row],[Candidate 4]], "")</f>
        <v/>
      </c>
      <c r="AI122" s="114" t="str">
        <f>IF(NOT(ISBLANK(Audit[[#This Row],[Audit Candidate 5]])), Audit[[#This Row],[Audit Candidate 5]]-Audit[[#This Row],[Candidate 5]], "")</f>
        <v/>
      </c>
      <c r="AJ122" s="114" t="str">
        <f>IF(NOT(ISBLANK(Audit[[#This Row],[Audit Candidate 6]])), Audit[[#This Row],[Audit Candidate 6]]-Audit[[#This Row],[Candidate 6]], "")</f>
        <v/>
      </c>
      <c r="AK122" s="114" t="str">
        <f>IF(NOT(ISBLANK(Audit[[#This Row],[Audit Candidate 7]])), Audit[[#This Row],[Audit Candidate 7]]-Audit[[#This Row],[Candidate 7]], "")</f>
        <v/>
      </c>
      <c r="AL122" s="114" t="str">
        <f>IF(NOT(ISBLANK(Audit[[#This Row],[Audit Candidate 8]])), Audit[[#This Row],[Audit Candidate 8]]-Audit[[#This Row],[Candidate 8]], "")</f>
        <v/>
      </c>
      <c r="AM122" s="114" t="str">
        <f>IF(NOT(ISBLANK(Audit[[#This Row],[Audit Candidate 9]])), Audit[[#This Row],[Audit Candidate 9]]-Audit[[#This Row],[Candidate 9]], "")</f>
        <v/>
      </c>
      <c r="AN122" s="114" t="str">
        <f>IF(NOT(ISBLANK(Audit[[#This Row],[Audit Candidate 10]])), Audit[[#This Row],[Audit Candidate 10]]-Audit[[#This Row],[Candidate 10]], "")</f>
        <v/>
      </c>
      <c r="AO122" s="114" t="str">
        <f>IF(NOT(ISBLANK(Audit[[#This Row],[Audit Candidate 11]])), Audit[[#This Row],[Audit Candidate 11]]-Audit[[#This Row],[Candidate 11]], "")</f>
        <v/>
      </c>
      <c r="AP122" s="114" t="str">
        <f>IF(NOT(ISBLANK(Audit[[#This Row],[Audit Candidate 12]])), Audit[[#This Row],[Audit Candidate 12]]-Audit[[#This Row],[Candidate 12]], "")</f>
        <v/>
      </c>
      <c r="AQ122" s="114">
        <f>SUMIF(Audit[[#This Row],[Difference Winner]:[Difference Candidate 12]], "&gt;0")</f>
        <v>0</v>
      </c>
      <c r="AR122" s="114">
        <f>SUM(Audit[[#This Row],[Difference Winner]:[Difference Candidate 12]])</f>
        <v>0</v>
      </c>
      <c r="AS122" s="114">
        <f>IF(Audit[[#This Row],[Times p Drawn - With Replacement]]&gt;0, IF(Audit[[#This Row],[Canceled Differences]]&lt;0, Audit[[#This Row],[Max Differences]]+ABS(Audit[[#This Row],[Canceled Differences]]), Audit[[#This Row],[Max Differences]]), 0)</f>
        <v>0</v>
      </c>
      <c r="AT122" s="114">
        <f>'Sampling Data'!AB122</f>
        <v>8.2169268693508624E-4</v>
      </c>
      <c r="AU122" s="114">
        <f>IF(
      SUM(Audit[[#This Row],[Audit Losing Candidate]:[Audit Candidate 12]])
      &lt;&gt;0,
      (Audit[[#This Row],[Winning Candidate]]-Audit[[#This Row],[Losing Candidate]]-(Audit[[#This Row],[Audit Winning Candidate]]-Audit[[#This Row],[Audit Losing Candidate]]))/(Audit[[#Totals],[Winning Candidate]]-Audit[[#Totals],[Losing Candidate]]),
      0
)</f>
        <v>0</v>
      </c>
      <c r="AV1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2" s="114">
        <f>IF(Audit[[#This Row],[Max Relative Error (ep)]] = 0, 0, Audit[[#This Row],[Max Relative Error (ep)]]/Audit[[#This Row],[Error Bound (up) - Max. possible relative overstatement]])</f>
        <v>0</v>
      </c>
      <c r="BH1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2" s="114">
        <f t="shared" si="2"/>
        <v>1</v>
      </c>
      <c r="BJ122" s="114">
        <f>PRODUCT($BI$5:BI122)</f>
        <v>0.20973752198051165</v>
      </c>
      <c r="BK122" s="112">
        <f>1 - Audit[[#This Row],[K-M P Value]]</f>
        <v>0.79026247801948835</v>
      </c>
      <c r="BL122" s="114" t="str">
        <f>IF(Audit[[#This Row],[K-M P Value]]&gt;1-'General Info'!$B$12,"Continue", "Stop")</f>
        <v>Continue</v>
      </c>
      <c r="BM122" s="113" t="b">
        <f>IF(Audit[[#This Row],[Status - Continue or stop audit]] = "Continue", TRUE, IF(BL121 = "Continue", TRUE, FALSE))</f>
        <v>1</v>
      </c>
      <c r="BN122" s="113"/>
    </row>
    <row r="123" spans="1:66" ht="15" hidden="1" customHeight="1" x14ac:dyDescent="0.35">
      <c r="A123" s="114" t="str">
        <f>'Sampling Data'!AI123</f>
        <v/>
      </c>
      <c r="B123" s="114" t="str">
        <f>'Sampling Data'!A123</f>
        <v>1904 CIN 19-D   (AV)</v>
      </c>
      <c r="C123" s="114">
        <f>'Sampling Data'!B123</f>
        <v>0</v>
      </c>
      <c r="D123" s="114">
        <f>'Sampling Data'!C123</f>
        <v>1</v>
      </c>
      <c r="E123" s="115">
        <f>'Sampling Data'!D123</f>
        <v>0</v>
      </c>
      <c r="F123" s="115">
        <f>'Sampling Data'!E123</f>
        <v>0</v>
      </c>
      <c r="G123" s="115">
        <f>'Sampling Data'!F123</f>
        <v>0</v>
      </c>
      <c r="H123" s="115">
        <f>'Sampling Data'!G123</f>
        <v>0</v>
      </c>
      <c r="I123" s="115">
        <f>'Sampling Data'!H123</f>
        <v>0</v>
      </c>
      <c r="J123" s="115">
        <f>'Sampling Data'!I123</f>
        <v>0</v>
      </c>
      <c r="K123" s="115">
        <f>'Sampling Data'!J123</f>
        <v>0</v>
      </c>
      <c r="L123" s="115">
        <f>'Sampling Data'!K123</f>
        <v>0</v>
      </c>
      <c r="M123" s="115">
        <f>'Sampling Data'!L123</f>
        <v>0</v>
      </c>
      <c r="N123" s="115">
        <f>'Sampling Data'!M123</f>
        <v>0</v>
      </c>
      <c r="O123" s="114">
        <f>'Sampling Data'!N123</f>
        <v>0</v>
      </c>
      <c r="P123" s="114">
        <f>'Sampling Data'!O123</f>
        <v>0</v>
      </c>
      <c r="Q123" s="114">
        <f>'Sampling Data'!P123</f>
        <v>1</v>
      </c>
      <c r="R123" s="114">
        <f>'Sampling Data'!AJ123</f>
        <v>0</v>
      </c>
      <c r="S123" s="116"/>
      <c r="T123" s="116"/>
      <c r="U123" s="117"/>
      <c r="V123" s="117"/>
      <c r="W123" s="116"/>
      <c r="X123" s="116"/>
      <c r="Y123" s="116"/>
      <c r="Z123" s="116"/>
      <c r="AA123" s="15"/>
      <c r="AB123" s="15"/>
      <c r="AC123" s="15"/>
      <c r="AD123" s="15"/>
      <c r="AE123" s="118" t="str">
        <f>IF(NOT(ISBLANK(Audit[[#This Row],[Audit Winning Candidate]])), Audit[[#This Row],[Audit Winning Candidate]]-Audit[[#This Row],[Winning Candidate]], "")</f>
        <v/>
      </c>
      <c r="AF123" s="114" t="str">
        <f>IF(NOT(ISBLANK(Audit[[#This Row],[Audit Losing Candidate]])), Audit[[#This Row],[Audit Losing Candidate]]-Audit[[#This Row],[Losing Candidate]], "")</f>
        <v/>
      </c>
      <c r="AG123" s="114" t="str">
        <f>IF(NOT(ISBLANK(Audit[[#This Row],[Audit Candidate 3]])), Audit[[#This Row],[Audit Candidate 3]]-Audit[[#This Row],[Candidate 3]], "")</f>
        <v/>
      </c>
      <c r="AH123" s="114" t="str">
        <f>IF(NOT(ISBLANK(Audit[[#This Row],[Audit Candidate 4]])),Audit[[#This Row],[Audit Candidate 4]]-Audit[[#This Row],[Candidate 4]], "")</f>
        <v/>
      </c>
      <c r="AI123" s="114" t="str">
        <f>IF(NOT(ISBLANK(Audit[[#This Row],[Audit Candidate 5]])), Audit[[#This Row],[Audit Candidate 5]]-Audit[[#This Row],[Candidate 5]], "")</f>
        <v/>
      </c>
      <c r="AJ123" s="114" t="str">
        <f>IF(NOT(ISBLANK(Audit[[#This Row],[Audit Candidate 6]])), Audit[[#This Row],[Audit Candidate 6]]-Audit[[#This Row],[Candidate 6]], "")</f>
        <v/>
      </c>
      <c r="AK123" s="114" t="str">
        <f>IF(NOT(ISBLANK(Audit[[#This Row],[Audit Candidate 7]])), Audit[[#This Row],[Audit Candidate 7]]-Audit[[#This Row],[Candidate 7]], "")</f>
        <v/>
      </c>
      <c r="AL123" s="114" t="str">
        <f>IF(NOT(ISBLANK(Audit[[#This Row],[Audit Candidate 8]])), Audit[[#This Row],[Audit Candidate 8]]-Audit[[#This Row],[Candidate 8]], "")</f>
        <v/>
      </c>
      <c r="AM123" s="114" t="str">
        <f>IF(NOT(ISBLANK(Audit[[#This Row],[Audit Candidate 9]])), Audit[[#This Row],[Audit Candidate 9]]-Audit[[#This Row],[Candidate 9]], "")</f>
        <v/>
      </c>
      <c r="AN123" s="114" t="str">
        <f>IF(NOT(ISBLANK(Audit[[#This Row],[Audit Candidate 10]])), Audit[[#This Row],[Audit Candidate 10]]-Audit[[#This Row],[Candidate 10]], "")</f>
        <v/>
      </c>
      <c r="AO123" s="114" t="str">
        <f>IF(NOT(ISBLANK(Audit[[#This Row],[Audit Candidate 11]])), Audit[[#This Row],[Audit Candidate 11]]-Audit[[#This Row],[Candidate 11]], "")</f>
        <v/>
      </c>
      <c r="AP123" s="114" t="str">
        <f>IF(NOT(ISBLANK(Audit[[#This Row],[Audit Candidate 12]])), Audit[[#This Row],[Audit Candidate 12]]-Audit[[#This Row],[Candidate 12]], "")</f>
        <v/>
      </c>
      <c r="AQ123" s="114">
        <f>SUMIF(Audit[[#This Row],[Difference Winner]:[Difference Candidate 12]], "&gt;0")</f>
        <v>0</v>
      </c>
      <c r="AR123" s="114">
        <f>SUM(Audit[[#This Row],[Difference Winner]:[Difference Candidate 12]])</f>
        <v>0</v>
      </c>
      <c r="AS123" s="114">
        <f>IF(Audit[[#This Row],[Times p Drawn - With Replacement]]&gt;0, IF(Audit[[#This Row],[Canceled Differences]]&lt;0, Audit[[#This Row],[Max Differences]]+ABS(Audit[[#This Row],[Canceled Differences]]), Audit[[#This Row],[Max Differences]]), 0)</f>
        <v>0</v>
      </c>
      <c r="AT123" s="114">
        <f>'Sampling Data'!AB123</f>
        <v>5.6446150372544591E-5</v>
      </c>
      <c r="AU123" s="114">
        <f>IF(
      SUM(Audit[[#This Row],[Audit Losing Candidate]:[Audit Candidate 12]])
      &lt;&gt;0,
      (Audit[[#This Row],[Winning Candidate]]-Audit[[#This Row],[Losing Candidate]]-(Audit[[#This Row],[Audit Winning Candidate]]-Audit[[#This Row],[Audit Losing Candidate]]))/(Audit[[#Totals],[Winning Candidate]]-Audit[[#Totals],[Losing Candidate]]),
      0
)</f>
        <v>0</v>
      </c>
      <c r="AV1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3" s="114">
        <f>IF(Audit[[#This Row],[Max Relative Error (ep)]] = 0, 0, Audit[[#This Row],[Max Relative Error (ep)]]/Audit[[#This Row],[Error Bound (up) - Max. possible relative overstatement]])</f>
        <v>0</v>
      </c>
      <c r="BH1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3" s="114">
        <f t="shared" si="2"/>
        <v>1</v>
      </c>
      <c r="BJ123" s="114">
        <f>PRODUCT($BI$5:BI123)</f>
        <v>0.20973752198051165</v>
      </c>
      <c r="BK123" s="112">
        <f>1 - Audit[[#This Row],[K-M P Value]]</f>
        <v>0.79026247801948835</v>
      </c>
      <c r="BL123" s="114" t="str">
        <f>IF(Audit[[#This Row],[K-M P Value]]&gt;1-'General Info'!$B$12,"Continue", "Stop")</f>
        <v>Continue</v>
      </c>
      <c r="BM123" s="113" t="b">
        <f>IF(Audit[[#This Row],[Status - Continue or stop audit]] = "Continue", TRUE, IF(BL122 = "Continue", TRUE, FALSE))</f>
        <v>1</v>
      </c>
      <c r="BN123" s="113"/>
    </row>
    <row r="124" spans="1:66" ht="15" hidden="1" customHeight="1" x14ac:dyDescent="0.35">
      <c r="A124" s="114" t="str">
        <f>'Sampling Data'!AI124</f>
        <v/>
      </c>
      <c r="B124" s="114" t="str">
        <f>'Sampling Data'!A124</f>
        <v>2001 CIN 20-A   (AV)</v>
      </c>
      <c r="C124" s="114">
        <f>'Sampling Data'!B124</f>
        <v>4</v>
      </c>
      <c r="D124" s="114">
        <f>'Sampling Data'!C124</f>
        <v>3</v>
      </c>
      <c r="E124" s="115">
        <f>'Sampling Data'!D124</f>
        <v>0</v>
      </c>
      <c r="F124" s="115">
        <f>'Sampling Data'!E124</f>
        <v>0</v>
      </c>
      <c r="G124" s="115">
        <f>'Sampling Data'!F124</f>
        <v>0</v>
      </c>
      <c r="H124" s="115">
        <f>'Sampling Data'!G124</f>
        <v>0</v>
      </c>
      <c r="I124" s="115">
        <f>'Sampling Data'!H124</f>
        <v>0</v>
      </c>
      <c r="J124" s="115">
        <f>'Sampling Data'!I124</f>
        <v>0</v>
      </c>
      <c r="K124" s="115">
        <f>'Sampling Data'!J124</f>
        <v>0</v>
      </c>
      <c r="L124" s="115">
        <f>'Sampling Data'!K124</f>
        <v>0</v>
      </c>
      <c r="M124" s="115">
        <f>'Sampling Data'!L124</f>
        <v>0</v>
      </c>
      <c r="N124" s="115">
        <f>'Sampling Data'!M124</f>
        <v>0</v>
      </c>
      <c r="O124" s="114">
        <f>'Sampling Data'!N124</f>
        <v>0</v>
      </c>
      <c r="P124" s="114">
        <f>'Sampling Data'!O124</f>
        <v>0</v>
      </c>
      <c r="Q124" s="114">
        <f>'Sampling Data'!P124</f>
        <v>7</v>
      </c>
      <c r="R124" s="114">
        <f>'Sampling Data'!AJ124</f>
        <v>0</v>
      </c>
      <c r="S124" s="116"/>
      <c r="T124" s="116"/>
      <c r="U124" s="117"/>
      <c r="V124" s="117"/>
      <c r="W124" s="116"/>
      <c r="X124" s="116"/>
      <c r="Y124" s="116"/>
      <c r="Z124" s="116"/>
      <c r="AA124" s="15"/>
      <c r="AB124" s="15"/>
      <c r="AC124" s="15"/>
      <c r="AD124" s="15"/>
      <c r="AE124" s="118" t="str">
        <f>IF(NOT(ISBLANK(Audit[[#This Row],[Audit Winning Candidate]])), Audit[[#This Row],[Audit Winning Candidate]]-Audit[[#This Row],[Winning Candidate]], "")</f>
        <v/>
      </c>
      <c r="AF124" s="114" t="str">
        <f>IF(NOT(ISBLANK(Audit[[#This Row],[Audit Losing Candidate]])), Audit[[#This Row],[Audit Losing Candidate]]-Audit[[#This Row],[Losing Candidate]], "")</f>
        <v/>
      </c>
      <c r="AG124" s="114" t="str">
        <f>IF(NOT(ISBLANK(Audit[[#This Row],[Audit Candidate 3]])), Audit[[#This Row],[Audit Candidate 3]]-Audit[[#This Row],[Candidate 3]], "")</f>
        <v/>
      </c>
      <c r="AH124" s="114" t="str">
        <f>IF(NOT(ISBLANK(Audit[[#This Row],[Audit Candidate 4]])),Audit[[#This Row],[Audit Candidate 4]]-Audit[[#This Row],[Candidate 4]], "")</f>
        <v/>
      </c>
      <c r="AI124" s="114" t="str">
        <f>IF(NOT(ISBLANK(Audit[[#This Row],[Audit Candidate 5]])), Audit[[#This Row],[Audit Candidate 5]]-Audit[[#This Row],[Candidate 5]], "")</f>
        <v/>
      </c>
      <c r="AJ124" s="114" t="str">
        <f>IF(NOT(ISBLANK(Audit[[#This Row],[Audit Candidate 6]])), Audit[[#This Row],[Audit Candidate 6]]-Audit[[#This Row],[Candidate 6]], "")</f>
        <v/>
      </c>
      <c r="AK124" s="114" t="str">
        <f>IF(NOT(ISBLANK(Audit[[#This Row],[Audit Candidate 7]])), Audit[[#This Row],[Audit Candidate 7]]-Audit[[#This Row],[Candidate 7]], "")</f>
        <v/>
      </c>
      <c r="AL124" s="114" t="str">
        <f>IF(NOT(ISBLANK(Audit[[#This Row],[Audit Candidate 8]])), Audit[[#This Row],[Audit Candidate 8]]-Audit[[#This Row],[Candidate 8]], "")</f>
        <v/>
      </c>
      <c r="AM124" s="114" t="str">
        <f>IF(NOT(ISBLANK(Audit[[#This Row],[Audit Candidate 9]])), Audit[[#This Row],[Audit Candidate 9]]-Audit[[#This Row],[Candidate 9]], "")</f>
        <v/>
      </c>
      <c r="AN124" s="114" t="str">
        <f>IF(NOT(ISBLANK(Audit[[#This Row],[Audit Candidate 10]])), Audit[[#This Row],[Audit Candidate 10]]-Audit[[#This Row],[Candidate 10]], "")</f>
        <v/>
      </c>
      <c r="AO124" s="114" t="str">
        <f>IF(NOT(ISBLANK(Audit[[#This Row],[Audit Candidate 11]])), Audit[[#This Row],[Audit Candidate 11]]-Audit[[#This Row],[Candidate 11]], "")</f>
        <v/>
      </c>
      <c r="AP124" s="114" t="str">
        <f>IF(NOT(ISBLANK(Audit[[#This Row],[Audit Candidate 12]])), Audit[[#This Row],[Audit Candidate 12]]-Audit[[#This Row],[Candidate 12]], "")</f>
        <v/>
      </c>
      <c r="AQ124" s="114">
        <f>SUMIF(Audit[[#This Row],[Difference Winner]:[Difference Candidate 12]], "&gt;0")</f>
        <v>0</v>
      </c>
      <c r="AR124" s="114">
        <f>SUM(Audit[[#This Row],[Difference Winner]:[Difference Candidate 12]])</f>
        <v>0</v>
      </c>
      <c r="AS124" s="114">
        <f>IF(Audit[[#This Row],[Times p Drawn - With Replacement]]&gt;0, IF(Audit[[#This Row],[Canceled Differences]]&lt;0, Audit[[#This Row],[Max Differences]]+ABS(Audit[[#This Row],[Canceled Differences]]), Audit[[#This Row],[Max Differences]]), 0)</f>
        <v>0</v>
      </c>
      <c r="AT124" s="114">
        <f>'Sampling Data'!AB124</f>
        <v>6.2090765409799048E-4</v>
      </c>
      <c r="AU124" s="114">
        <f>IF(
      SUM(Audit[[#This Row],[Audit Losing Candidate]:[Audit Candidate 12]])
      &lt;&gt;0,
      (Audit[[#This Row],[Winning Candidate]]-Audit[[#This Row],[Losing Candidate]]-(Audit[[#This Row],[Audit Winning Candidate]]-Audit[[#This Row],[Audit Losing Candidate]]))/(Audit[[#Totals],[Winning Candidate]]-Audit[[#Totals],[Losing Candidate]]),
      0
)</f>
        <v>0</v>
      </c>
      <c r="AV1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4" s="114">
        <f>IF(Audit[[#This Row],[Max Relative Error (ep)]] = 0, 0, Audit[[#This Row],[Max Relative Error (ep)]]/Audit[[#This Row],[Error Bound (up) - Max. possible relative overstatement]])</f>
        <v>0</v>
      </c>
      <c r="BH1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4" s="114">
        <f t="shared" si="2"/>
        <v>1</v>
      </c>
      <c r="BJ124" s="114">
        <f>PRODUCT($BI$5:BI124)</f>
        <v>0.20973752198051165</v>
      </c>
      <c r="BK124" s="112">
        <f>1 - Audit[[#This Row],[K-M P Value]]</f>
        <v>0.79026247801948835</v>
      </c>
      <c r="BL124" s="114" t="str">
        <f>IF(Audit[[#This Row],[K-M P Value]]&gt;1-'General Info'!$B$12,"Continue", "Stop")</f>
        <v>Continue</v>
      </c>
      <c r="BM124" s="113" t="b">
        <f>IF(Audit[[#This Row],[Status - Continue or stop audit]] = "Continue", TRUE, IF(BL123 = "Continue", TRUE, FALSE))</f>
        <v>1</v>
      </c>
      <c r="BN124" s="113"/>
    </row>
    <row r="125" spans="1:66" ht="15" hidden="1" customHeight="1" x14ac:dyDescent="0.35">
      <c r="A125" s="114" t="str">
        <f>'Sampling Data'!AI125</f>
        <v/>
      </c>
      <c r="B125" s="114" t="str">
        <f>'Sampling Data'!A125</f>
        <v>2002 CIN 20-B   (AV)</v>
      </c>
      <c r="C125" s="114">
        <f>'Sampling Data'!B125</f>
        <v>6</v>
      </c>
      <c r="D125" s="114">
        <f>'Sampling Data'!C125</f>
        <v>1</v>
      </c>
      <c r="E125" s="115">
        <f>'Sampling Data'!D125</f>
        <v>1</v>
      </c>
      <c r="F125" s="115">
        <f>'Sampling Data'!E125</f>
        <v>0</v>
      </c>
      <c r="G125" s="115">
        <f>'Sampling Data'!F125</f>
        <v>0</v>
      </c>
      <c r="H125" s="115">
        <f>'Sampling Data'!G125</f>
        <v>0</v>
      </c>
      <c r="I125" s="115">
        <f>'Sampling Data'!H125</f>
        <v>0</v>
      </c>
      <c r="J125" s="115">
        <f>'Sampling Data'!I125</f>
        <v>0</v>
      </c>
      <c r="K125" s="115">
        <f>'Sampling Data'!J125</f>
        <v>0</v>
      </c>
      <c r="L125" s="115">
        <f>'Sampling Data'!K125</f>
        <v>0</v>
      </c>
      <c r="M125" s="115">
        <f>'Sampling Data'!L125</f>
        <v>0</v>
      </c>
      <c r="N125" s="115">
        <f>'Sampling Data'!M125</f>
        <v>0</v>
      </c>
      <c r="O125" s="114">
        <f>'Sampling Data'!N125</f>
        <v>0</v>
      </c>
      <c r="P125" s="114">
        <f>'Sampling Data'!O125</f>
        <v>0</v>
      </c>
      <c r="Q125" s="114">
        <f>'Sampling Data'!P125</f>
        <v>8</v>
      </c>
      <c r="R125" s="114">
        <f>'Sampling Data'!AJ125</f>
        <v>0</v>
      </c>
      <c r="S125" s="116"/>
      <c r="T125" s="116"/>
      <c r="U125" s="117"/>
      <c r="V125" s="117"/>
      <c r="W125" s="116"/>
      <c r="X125" s="116"/>
      <c r="Y125" s="116"/>
      <c r="Z125" s="116"/>
      <c r="AA125" s="15"/>
      <c r="AB125" s="15"/>
      <c r="AC125" s="15"/>
      <c r="AD125" s="15"/>
      <c r="AE125" s="118" t="str">
        <f>IF(NOT(ISBLANK(Audit[[#This Row],[Audit Winning Candidate]])), Audit[[#This Row],[Audit Winning Candidate]]-Audit[[#This Row],[Winning Candidate]], "")</f>
        <v/>
      </c>
      <c r="AF125" s="114" t="str">
        <f>IF(NOT(ISBLANK(Audit[[#This Row],[Audit Losing Candidate]])), Audit[[#This Row],[Audit Losing Candidate]]-Audit[[#This Row],[Losing Candidate]], "")</f>
        <v/>
      </c>
      <c r="AG125" s="114" t="str">
        <f>IF(NOT(ISBLANK(Audit[[#This Row],[Audit Candidate 3]])), Audit[[#This Row],[Audit Candidate 3]]-Audit[[#This Row],[Candidate 3]], "")</f>
        <v/>
      </c>
      <c r="AH125" s="114" t="str">
        <f>IF(NOT(ISBLANK(Audit[[#This Row],[Audit Candidate 4]])),Audit[[#This Row],[Audit Candidate 4]]-Audit[[#This Row],[Candidate 4]], "")</f>
        <v/>
      </c>
      <c r="AI125" s="114" t="str">
        <f>IF(NOT(ISBLANK(Audit[[#This Row],[Audit Candidate 5]])), Audit[[#This Row],[Audit Candidate 5]]-Audit[[#This Row],[Candidate 5]], "")</f>
        <v/>
      </c>
      <c r="AJ125" s="114" t="str">
        <f>IF(NOT(ISBLANK(Audit[[#This Row],[Audit Candidate 6]])), Audit[[#This Row],[Audit Candidate 6]]-Audit[[#This Row],[Candidate 6]], "")</f>
        <v/>
      </c>
      <c r="AK125" s="114" t="str">
        <f>IF(NOT(ISBLANK(Audit[[#This Row],[Audit Candidate 7]])), Audit[[#This Row],[Audit Candidate 7]]-Audit[[#This Row],[Candidate 7]], "")</f>
        <v/>
      </c>
      <c r="AL125" s="114" t="str">
        <f>IF(NOT(ISBLANK(Audit[[#This Row],[Audit Candidate 8]])), Audit[[#This Row],[Audit Candidate 8]]-Audit[[#This Row],[Candidate 8]], "")</f>
        <v/>
      </c>
      <c r="AM125" s="114" t="str">
        <f>IF(NOT(ISBLANK(Audit[[#This Row],[Audit Candidate 9]])), Audit[[#This Row],[Audit Candidate 9]]-Audit[[#This Row],[Candidate 9]], "")</f>
        <v/>
      </c>
      <c r="AN125" s="114" t="str">
        <f>IF(NOT(ISBLANK(Audit[[#This Row],[Audit Candidate 10]])), Audit[[#This Row],[Audit Candidate 10]]-Audit[[#This Row],[Candidate 10]], "")</f>
        <v/>
      </c>
      <c r="AO125" s="114" t="str">
        <f>IF(NOT(ISBLANK(Audit[[#This Row],[Audit Candidate 11]])), Audit[[#This Row],[Audit Candidate 11]]-Audit[[#This Row],[Candidate 11]], "")</f>
        <v/>
      </c>
      <c r="AP125" s="114" t="str">
        <f>IF(NOT(ISBLANK(Audit[[#This Row],[Audit Candidate 12]])), Audit[[#This Row],[Audit Candidate 12]]-Audit[[#This Row],[Candidate 12]], "")</f>
        <v/>
      </c>
      <c r="AQ125" s="114">
        <f>SUMIF(Audit[[#This Row],[Difference Winner]:[Difference Candidate 12]], "&gt;0")</f>
        <v>0</v>
      </c>
      <c r="AR125" s="114">
        <f>SUM(Audit[[#This Row],[Difference Winner]:[Difference Candidate 12]])</f>
        <v>0</v>
      </c>
      <c r="AS125" s="114">
        <f>IF(Audit[[#This Row],[Times p Drawn - With Replacement]]&gt;0, IF(Audit[[#This Row],[Canceled Differences]]&lt;0, Audit[[#This Row],[Max Differences]]+ABS(Audit[[#This Row],[Canceled Differences]]), Audit[[#This Row],[Max Differences]]), 0)</f>
        <v>0</v>
      </c>
      <c r="AT125" s="114">
        <f>'Sampling Data'!AB125</f>
        <v>8.2169268693508624E-4</v>
      </c>
      <c r="AU125" s="114">
        <f>IF(
      SUM(Audit[[#This Row],[Audit Losing Candidate]:[Audit Candidate 12]])
      &lt;&gt;0,
      (Audit[[#This Row],[Winning Candidate]]-Audit[[#This Row],[Losing Candidate]]-(Audit[[#This Row],[Audit Winning Candidate]]-Audit[[#This Row],[Audit Losing Candidate]]))/(Audit[[#Totals],[Winning Candidate]]-Audit[[#Totals],[Losing Candidate]]),
      0
)</f>
        <v>0</v>
      </c>
      <c r="AV1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5" s="114">
        <f>IF(Audit[[#This Row],[Max Relative Error (ep)]] = 0, 0, Audit[[#This Row],[Max Relative Error (ep)]]/Audit[[#This Row],[Error Bound (up) - Max. possible relative overstatement]])</f>
        <v>0</v>
      </c>
      <c r="BH1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5" s="114">
        <f t="shared" si="2"/>
        <v>1</v>
      </c>
      <c r="BJ125" s="114">
        <f>PRODUCT($BI$5:BI125)</f>
        <v>0.20973752198051165</v>
      </c>
      <c r="BK125" s="112">
        <f>1 - Audit[[#This Row],[K-M P Value]]</f>
        <v>0.79026247801948835</v>
      </c>
      <c r="BL125" s="114" t="str">
        <f>IF(Audit[[#This Row],[K-M P Value]]&gt;1-'General Info'!$B$12,"Continue", "Stop")</f>
        <v>Continue</v>
      </c>
      <c r="BM125" s="113" t="b">
        <f>IF(Audit[[#This Row],[Status - Continue or stop audit]] = "Continue", TRUE, IF(BL124 = "Continue", TRUE, FALSE))</f>
        <v>1</v>
      </c>
      <c r="BN125" s="113"/>
    </row>
    <row r="126" spans="1:66" ht="15" hidden="1" customHeight="1" x14ac:dyDescent="0.35">
      <c r="A126" s="114" t="str">
        <f>'Sampling Data'!AI126</f>
        <v/>
      </c>
      <c r="B126" s="114" t="str">
        <f>'Sampling Data'!A126</f>
        <v>2003 CIN 20-C   (AV)</v>
      </c>
      <c r="C126" s="114">
        <f>'Sampling Data'!B126</f>
        <v>14</v>
      </c>
      <c r="D126" s="114">
        <f>'Sampling Data'!C126</f>
        <v>0</v>
      </c>
      <c r="E126" s="115">
        <f>'Sampling Data'!D126</f>
        <v>1</v>
      </c>
      <c r="F126" s="115">
        <f>'Sampling Data'!E126</f>
        <v>0</v>
      </c>
      <c r="G126" s="115">
        <f>'Sampling Data'!F126</f>
        <v>0</v>
      </c>
      <c r="H126" s="115">
        <f>'Sampling Data'!G126</f>
        <v>0</v>
      </c>
      <c r="I126" s="115">
        <f>'Sampling Data'!H126</f>
        <v>0</v>
      </c>
      <c r="J126" s="115">
        <f>'Sampling Data'!I126</f>
        <v>0</v>
      </c>
      <c r="K126" s="115">
        <f>'Sampling Data'!J126</f>
        <v>0</v>
      </c>
      <c r="L126" s="115">
        <f>'Sampling Data'!K126</f>
        <v>0</v>
      </c>
      <c r="M126" s="115">
        <f>'Sampling Data'!L126</f>
        <v>0</v>
      </c>
      <c r="N126" s="115">
        <f>'Sampling Data'!M126</f>
        <v>0</v>
      </c>
      <c r="O126" s="114">
        <f>'Sampling Data'!N126</f>
        <v>0</v>
      </c>
      <c r="P126" s="114">
        <f>'Sampling Data'!O126</f>
        <v>0</v>
      </c>
      <c r="Q126" s="114">
        <f>'Sampling Data'!P126</f>
        <v>15</v>
      </c>
      <c r="R126" s="114">
        <f>'Sampling Data'!AJ126</f>
        <v>0</v>
      </c>
      <c r="S126" s="116"/>
      <c r="T126" s="116"/>
      <c r="U126" s="117"/>
      <c r="V126" s="117"/>
      <c r="W126" s="116"/>
      <c r="X126" s="116"/>
      <c r="Y126" s="116"/>
      <c r="Z126" s="116"/>
      <c r="AA126" s="15"/>
      <c r="AB126" s="15"/>
      <c r="AC126" s="15"/>
      <c r="AD126" s="15"/>
      <c r="AE126" s="118" t="str">
        <f>IF(NOT(ISBLANK(Audit[[#This Row],[Audit Winning Candidate]])), Audit[[#This Row],[Audit Winning Candidate]]-Audit[[#This Row],[Winning Candidate]], "")</f>
        <v/>
      </c>
      <c r="AF126" s="114" t="str">
        <f>IF(NOT(ISBLANK(Audit[[#This Row],[Audit Losing Candidate]])), Audit[[#This Row],[Audit Losing Candidate]]-Audit[[#This Row],[Losing Candidate]], "")</f>
        <v/>
      </c>
      <c r="AG126" s="114" t="str">
        <f>IF(NOT(ISBLANK(Audit[[#This Row],[Audit Candidate 3]])), Audit[[#This Row],[Audit Candidate 3]]-Audit[[#This Row],[Candidate 3]], "")</f>
        <v/>
      </c>
      <c r="AH126" s="114" t="str">
        <f>IF(NOT(ISBLANK(Audit[[#This Row],[Audit Candidate 4]])),Audit[[#This Row],[Audit Candidate 4]]-Audit[[#This Row],[Candidate 4]], "")</f>
        <v/>
      </c>
      <c r="AI126" s="114" t="str">
        <f>IF(NOT(ISBLANK(Audit[[#This Row],[Audit Candidate 5]])), Audit[[#This Row],[Audit Candidate 5]]-Audit[[#This Row],[Candidate 5]], "")</f>
        <v/>
      </c>
      <c r="AJ126" s="114" t="str">
        <f>IF(NOT(ISBLANK(Audit[[#This Row],[Audit Candidate 6]])), Audit[[#This Row],[Audit Candidate 6]]-Audit[[#This Row],[Candidate 6]], "")</f>
        <v/>
      </c>
      <c r="AK126" s="114" t="str">
        <f>IF(NOT(ISBLANK(Audit[[#This Row],[Audit Candidate 7]])), Audit[[#This Row],[Audit Candidate 7]]-Audit[[#This Row],[Candidate 7]], "")</f>
        <v/>
      </c>
      <c r="AL126" s="114" t="str">
        <f>IF(NOT(ISBLANK(Audit[[#This Row],[Audit Candidate 8]])), Audit[[#This Row],[Audit Candidate 8]]-Audit[[#This Row],[Candidate 8]], "")</f>
        <v/>
      </c>
      <c r="AM126" s="114" t="str">
        <f>IF(NOT(ISBLANK(Audit[[#This Row],[Audit Candidate 9]])), Audit[[#This Row],[Audit Candidate 9]]-Audit[[#This Row],[Candidate 9]], "")</f>
        <v/>
      </c>
      <c r="AN126" s="114" t="str">
        <f>IF(NOT(ISBLANK(Audit[[#This Row],[Audit Candidate 10]])), Audit[[#This Row],[Audit Candidate 10]]-Audit[[#This Row],[Candidate 10]], "")</f>
        <v/>
      </c>
      <c r="AO126" s="114" t="str">
        <f>IF(NOT(ISBLANK(Audit[[#This Row],[Audit Candidate 11]])), Audit[[#This Row],[Audit Candidate 11]]-Audit[[#This Row],[Candidate 11]], "")</f>
        <v/>
      </c>
      <c r="AP126" s="114" t="str">
        <f>IF(NOT(ISBLANK(Audit[[#This Row],[Audit Candidate 12]])), Audit[[#This Row],[Audit Candidate 12]]-Audit[[#This Row],[Candidate 12]], "")</f>
        <v/>
      </c>
      <c r="AQ126" s="114">
        <f>SUMIF(Audit[[#This Row],[Difference Winner]:[Difference Candidate 12]], "&gt;0")</f>
        <v>0</v>
      </c>
      <c r="AR126" s="114">
        <f>SUM(Audit[[#This Row],[Difference Winner]:[Difference Candidate 12]])</f>
        <v>0</v>
      </c>
      <c r="AS126" s="114">
        <f>IF(Audit[[#This Row],[Times p Drawn - With Replacement]]&gt;0, IF(Audit[[#This Row],[Canceled Differences]]&lt;0, Audit[[#This Row],[Max Differences]]+ABS(Audit[[#This Row],[Canceled Differences]]), Audit[[#This Row],[Max Differences]]), 0)</f>
        <v>0</v>
      </c>
      <c r="AT126" s="114">
        <f>'Sampling Data'!AB126</f>
        <v>1.8330067631628848E-3</v>
      </c>
      <c r="AU126" s="114">
        <f>IF(
      SUM(Audit[[#This Row],[Audit Losing Candidate]:[Audit Candidate 12]])
      &lt;&gt;0,
      (Audit[[#This Row],[Winning Candidate]]-Audit[[#This Row],[Losing Candidate]]-(Audit[[#This Row],[Audit Winning Candidate]]-Audit[[#This Row],[Audit Losing Candidate]]))/(Audit[[#Totals],[Winning Candidate]]-Audit[[#Totals],[Losing Candidate]]),
      0
)</f>
        <v>0</v>
      </c>
      <c r="AV1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6" s="114">
        <f>IF(Audit[[#This Row],[Max Relative Error (ep)]] = 0, 0, Audit[[#This Row],[Max Relative Error (ep)]]/Audit[[#This Row],[Error Bound (up) - Max. possible relative overstatement]])</f>
        <v>0</v>
      </c>
      <c r="BH1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6" s="114">
        <f t="shared" si="2"/>
        <v>1</v>
      </c>
      <c r="BJ126" s="114">
        <f>PRODUCT($BI$5:BI126)</f>
        <v>0.20973752198051165</v>
      </c>
      <c r="BK126" s="112">
        <f>1 - Audit[[#This Row],[K-M P Value]]</f>
        <v>0.79026247801948835</v>
      </c>
      <c r="BL126" s="114" t="str">
        <f>IF(Audit[[#This Row],[K-M P Value]]&gt;1-'General Info'!$B$12,"Continue", "Stop")</f>
        <v>Continue</v>
      </c>
      <c r="BM126" s="113" t="b">
        <f>IF(Audit[[#This Row],[Status - Continue or stop audit]] = "Continue", TRUE, IF(BL125 = "Continue", TRUE, FALSE))</f>
        <v>1</v>
      </c>
      <c r="BN126" s="113"/>
    </row>
    <row r="127" spans="1:66" ht="15" hidden="1" customHeight="1" x14ac:dyDescent="0.35">
      <c r="A127" s="114" t="str">
        <f>'Sampling Data'!AI127</f>
        <v/>
      </c>
      <c r="B127" s="114" t="str">
        <f>'Sampling Data'!A127</f>
        <v>2004 CIN 20-D   (AV)</v>
      </c>
      <c r="C127" s="114">
        <f>'Sampling Data'!B127</f>
        <v>13</v>
      </c>
      <c r="D127" s="114">
        <f>'Sampling Data'!C127</f>
        <v>2</v>
      </c>
      <c r="E127" s="115">
        <f>'Sampling Data'!D127</f>
        <v>0</v>
      </c>
      <c r="F127" s="115">
        <f>'Sampling Data'!E127</f>
        <v>0</v>
      </c>
      <c r="G127" s="115">
        <f>'Sampling Data'!F127</f>
        <v>0</v>
      </c>
      <c r="H127" s="115">
        <f>'Sampling Data'!G127</f>
        <v>0</v>
      </c>
      <c r="I127" s="115">
        <f>'Sampling Data'!H127</f>
        <v>0</v>
      </c>
      <c r="J127" s="115">
        <f>'Sampling Data'!I127</f>
        <v>0</v>
      </c>
      <c r="K127" s="115">
        <f>'Sampling Data'!J127</f>
        <v>0</v>
      </c>
      <c r="L127" s="115">
        <f>'Sampling Data'!K127</f>
        <v>0</v>
      </c>
      <c r="M127" s="115">
        <f>'Sampling Data'!L127</f>
        <v>0</v>
      </c>
      <c r="N127" s="115">
        <f>'Sampling Data'!M127</f>
        <v>0</v>
      </c>
      <c r="O127" s="114">
        <f>'Sampling Data'!N127</f>
        <v>0</v>
      </c>
      <c r="P127" s="114">
        <f>'Sampling Data'!O127</f>
        <v>0</v>
      </c>
      <c r="Q127" s="114">
        <f>'Sampling Data'!P127</f>
        <v>15</v>
      </c>
      <c r="R127" s="114">
        <f>'Sampling Data'!AJ127</f>
        <v>0</v>
      </c>
      <c r="S127" s="116"/>
      <c r="T127" s="116"/>
      <c r="U127" s="117"/>
      <c r="V127" s="117"/>
      <c r="W127" s="116"/>
      <c r="X127" s="116"/>
      <c r="Y127" s="116"/>
      <c r="Z127" s="116"/>
      <c r="AA127" s="15"/>
      <c r="AB127" s="15"/>
      <c r="AC127" s="15"/>
      <c r="AD127" s="15"/>
      <c r="AE127" s="118" t="str">
        <f>IF(NOT(ISBLANK(Audit[[#This Row],[Audit Winning Candidate]])), Audit[[#This Row],[Audit Winning Candidate]]-Audit[[#This Row],[Winning Candidate]], "")</f>
        <v/>
      </c>
      <c r="AF127" s="114" t="str">
        <f>IF(NOT(ISBLANK(Audit[[#This Row],[Audit Losing Candidate]])), Audit[[#This Row],[Audit Losing Candidate]]-Audit[[#This Row],[Losing Candidate]], "")</f>
        <v/>
      </c>
      <c r="AG127" s="114" t="str">
        <f>IF(NOT(ISBLANK(Audit[[#This Row],[Audit Candidate 3]])), Audit[[#This Row],[Audit Candidate 3]]-Audit[[#This Row],[Candidate 3]], "")</f>
        <v/>
      </c>
      <c r="AH127" s="114" t="str">
        <f>IF(NOT(ISBLANK(Audit[[#This Row],[Audit Candidate 4]])),Audit[[#This Row],[Audit Candidate 4]]-Audit[[#This Row],[Candidate 4]], "")</f>
        <v/>
      </c>
      <c r="AI127" s="114" t="str">
        <f>IF(NOT(ISBLANK(Audit[[#This Row],[Audit Candidate 5]])), Audit[[#This Row],[Audit Candidate 5]]-Audit[[#This Row],[Candidate 5]], "")</f>
        <v/>
      </c>
      <c r="AJ127" s="114" t="str">
        <f>IF(NOT(ISBLANK(Audit[[#This Row],[Audit Candidate 6]])), Audit[[#This Row],[Audit Candidate 6]]-Audit[[#This Row],[Candidate 6]], "")</f>
        <v/>
      </c>
      <c r="AK127" s="114" t="str">
        <f>IF(NOT(ISBLANK(Audit[[#This Row],[Audit Candidate 7]])), Audit[[#This Row],[Audit Candidate 7]]-Audit[[#This Row],[Candidate 7]], "")</f>
        <v/>
      </c>
      <c r="AL127" s="114" t="str">
        <f>IF(NOT(ISBLANK(Audit[[#This Row],[Audit Candidate 8]])), Audit[[#This Row],[Audit Candidate 8]]-Audit[[#This Row],[Candidate 8]], "")</f>
        <v/>
      </c>
      <c r="AM127" s="114" t="str">
        <f>IF(NOT(ISBLANK(Audit[[#This Row],[Audit Candidate 9]])), Audit[[#This Row],[Audit Candidate 9]]-Audit[[#This Row],[Candidate 9]], "")</f>
        <v/>
      </c>
      <c r="AN127" s="114" t="str">
        <f>IF(NOT(ISBLANK(Audit[[#This Row],[Audit Candidate 10]])), Audit[[#This Row],[Audit Candidate 10]]-Audit[[#This Row],[Candidate 10]], "")</f>
        <v/>
      </c>
      <c r="AO127" s="114" t="str">
        <f>IF(NOT(ISBLANK(Audit[[#This Row],[Audit Candidate 11]])), Audit[[#This Row],[Audit Candidate 11]]-Audit[[#This Row],[Candidate 11]], "")</f>
        <v/>
      </c>
      <c r="AP127" s="114" t="str">
        <f>IF(NOT(ISBLANK(Audit[[#This Row],[Audit Candidate 12]])), Audit[[#This Row],[Audit Candidate 12]]-Audit[[#This Row],[Candidate 12]], "")</f>
        <v/>
      </c>
      <c r="AQ127" s="114">
        <f>SUMIF(Audit[[#This Row],[Difference Winner]:[Difference Candidate 12]], "&gt;0")</f>
        <v>0</v>
      </c>
      <c r="AR127" s="114">
        <f>SUM(Audit[[#This Row],[Difference Winner]:[Difference Candidate 12]])</f>
        <v>0</v>
      </c>
      <c r="AS127" s="114">
        <f>IF(Audit[[#This Row],[Times p Drawn - With Replacement]]&gt;0, IF(Audit[[#This Row],[Canceled Differences]]&lt;0, Audit[[#This Row],[Max Differences]]+ABS(Audit[[#This Row],[Canceled Differences]]), Audit[[#This Row],[Max Differences]]), 0)</f>
        <v>0</v>
      </c>
      <c r="AT127" s="114">
        <f>'Sampling Data'!AB127</f>
        <v>1.6433853738701725E-3</v>
      </c>
      <c r="AU127" s="114">
        <f>IF(
      SUM(Audit[[#This Row],[Audit Losing Candidate]:[Audit Candidate 12]])
      &lt;&gt;0,
      (Audit[[#This Row],[Winning Candidate]]-Audit[[#This Row],[Losing Candidate]]-(Audit[[#This Row],[Audit Winning Candidate]]-Audit[[#This Row],[Audit Losing Candidate]]))/(Audit[[#Totals],[Winning Candidate]]-Audit[[#Totals],[Losing Candidate]]),
      0
)</f>
        <v>0</v>
      </c>
      <c r="AV1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7" s="114">
        <f>IF(Audit[[#This Row],[Max Relative Error (ep)]] = 0, 0, Audit[[#This Row],[Max Relative Error (ep)]]/Audit[[#This Row],[Error Bound (up) - Max. possible relative overstatement]])</f>
        <v>0</v>
      </c>
      <c r="BH1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7" s="114">
        <f t="shared" si="2"/>
        <v>1</v>
      </c>
      <c r="BJ127" s="114">
        <f>PRODUCT($BI$5:BI127)</f>
        <v>0.20973752198051165</v>
      </c>
      <c r="BK127" s="112">
        <f>1 - Audit[[#This Row],[K-M P Value]]</f>
        <v>0.79026247801948835</v>
      </c>
      <c r="BL127" s="114" t="str">
        <f>IF(Audit[[#This Row],[K-M P Value]]&gt;1-'General Info'!$B$12,"Continue", "Stop")</f>
        <v>Continue</v>
      </c>
      <c r="BM127" s="113" t="b">
        <f>IF(Audit[[#This Row],[Status - Continue or stop audit]] = "Continue", TRUE, IF(BL126 = "Continue", TRUE, FALSE))</f>
        <v>1</v>
      </c>
      <c r="BN127" s="113"/>
    </row>
    <row r="128" spans="1:66" ht="15" hidden="1" customHeight="1" x14ac:dyDescent="0.35">
      <c r="A128" s="114" t="str">
        <f>'Sampling Data'!AI128</f>
        <v/>
      </c>
      <c r="B128" s="114" t="str">
        <f>'Sampling Data'!A128</f>
        <v>2005 CIN 20-E   (AV)</v>
      </c>
      <c r="C128" s="114">
        <f>'Sampling Data'!B128</f>
        <v>3</v>
      </c>
      <c r="D128" s="114">
        <f>'Sampling Data'!C128</f>
        <v>0</v>
      </c>
      <c r="E128" s="115">
        <f>'Sampling Data'!D128</f>
        <v>0</v>
      </c>
      <c r="F128" s="115">
        <f>'Sampling Data'!E128</f>
        <v>0</v>
      </c>
      <c r="G128" s="115">
        <f>'Sampling Data'!F128</f>
        <v>0</v>
      </c>
      <c r="H128" s="115">
        <f>'Sampling Data'!G128</f>
        <v>0</v>
      </c>
      <c r="I128" s="115">
        <f>'Sampling Data'!H128</f>
        <v>0</v>
      </c>
      <c r="J128" s="115">
        <f>'Sampling Data'!I128</f>
        <v>0</v>
      </c>
      <c r="K128" s="115">
        <f>'Sampling Data'!J128</f>
        <v>0</v>
      </c>
      <c r="L128" s="115">
        <f>'Sampling Data'!K128</f>
        <v>0</v>
      </c>
      <c r="M128" s="115">
        <f>'Sampling Data'!L128</f>
        <v>0</v>
      </c>
      <c r="N128" s="115">
        <f>'Sampling Data'!M128</f>
        <v>0</v>
      </c>
      <c r="O128" s="114">
        <f>'Sampling Data'!N128</f>
        <v>0</v>
      </c>
      <c r="P128" s="114">
        <f>'Sampling Data'!O128</f>
        <v>0</v>
      </c>
      <c r="Q128" s="114">
        <f>'Sampling Data'!P128</f>
        <v>3</v>
      </c>
      <c r="R128" s="114">
        <f>'Sampling Data'!AJ128</f>
        <v>0</v>
      </c>
      <c r="S128" s="116"/>
      <c r="T128" s="116"/>
      <c r="U128" s="117"/>
      <c r="V128" s="117"/>
      <c r="W128" s="116"/>
      <c r="X128" s="116"/>
      <c r="Y128" s="116"/>
      <c r="Z128" s="116"/>
      <c r="AA128" s="15"/>
      <c r="AB128" s="15"/>
      <c r="AC128" s="15"/>
      <c r="AD128" s="15"/>
      <c r="AE128" s="118" t="str">
        <f>IF(NOT(ISBLANK(Audit[[#This Row],[Audit Winning Candidate]])), Audit[[#This Row],[Audit Winning Candidate]]-Audit[[#This Row],[Winning Candidate]], "")</f>
        <v/>
      </c>
      <c r="AF128" s="114" t="str">
        <f>IF(NOT(ISBLANK(Audit[[#This Row],[Audit Losing Candidate]])), Audit[[#This Row],[Audit Losing Candidate]]-Audit[[#This Row],[Losing Candidate]], "")</f>
        <v/>
      </c>
      <c r="AG128" s="114" t="str">
        <f>IF(NOT(ISBLANK(Audit[[#This Row],[Audit Candidate 3]])), Audit[[#This Row],[Audit Candidate 3]]-Audit[[#This Row],[Candidate 3]], "")</f>
        <v/>
      </c>
      <c r="AH128" s="114" t="str">
        <f>IF(NOT(ISBLANK(Audit[[#This Row],[Audit Candidate 4]])),Audit[[#This Row],[Audit Candidate 4]]-Audit[[#This Row],[Candidate 4]], "")</f>
        <v/>
      </c>
      <c r="AI128" s="114" t="str">
        <f>IF(NOT(ISBLANK(Audit[[#This Row],[Audit Candidate 5]])), Audit[[#This Row],[Audit Candidate 5]]-Audit[[#This Row],[Candidate 5]], "")</f>
        <v/>
      </c>
      <c r="AJ128" s="114" t="str">
        <f>IF(NOT(ISBLANK(Audit[[#This Row],[Audit Candidate 6]])), Audit[[#This Row],[Audit Candidate 6]]-Audit[[#This Row],[Candidate 6]], "")</f>
        <v/>
      </c>
      <c r="AK128" s="114" t="str">
        <f>IF(NOT(ISBLANK(Audit[[#This Row],[Audit Candidate 7]])), Audit[[#This Row],[Audit Candidate 7]]-Audit[[#This Row],[Candidate 7]], "")</f>
        <v/>
      </c>
      <c r="AL128" s="114" t="str">
        <f>IF(NOT(ISBLANK(Audit[[#This Row],[Audit Candidate 8]])), Audit[[#This Row],[Audit Candidate 8]]-Audit[[#This Row],[Candidate 8]], "")</f>
        <v/>
      </c>
      <c r="AM128" s="114" t="str">
        <f>IF(NOT(ISBLANK(Audit[[#This Row],[Audit Candidate 9]])), Audit[[#This Row],[Audit Candidate 9]]-Audit[[#This Row],[Candidate 9]], "")</f>
        <v/>
      </c>
      <c r="AN128" s="114" t="str">
        <f>IF(NOT(ISBLANK(Audit[[#This Row],[Audit Candidate 10]])), Audit[[#This Row],[Audit Candidate 10]]-Audit[[#This Row],[Candidate 10]], "")</f>
        <v/>
      </c>
      <c r="AO128" s="114" t="str">
        <f>IF(NOT(ISBLANK(Audit[[#This Row],[Audit Candidate 11]])), Audit[[#This Row],[Audit Candidate 11]]-Audit[[#This Row],[Candidate 11]], "")</f>
        <v/>
      </c>
      <c r="AP128" s="114" t="str">
        <f>IF(NOT(ISBLANK(Audit[[#This Row],[Audit Candidate 12]])), Audit[[#This Row],[Audit Candidate 12]]-Audit[[#This Row],[Candidate 12]], "")</f>
        <v/>
      </c>
      <c r="AQ128" s="114">
        <f>SUMIF(Audit[[#This Row],[Difference Winner]:[Difference Candidate 12]], "&gt;0")</f>
        <v>0</v>
      </c>
      <c r="AR128" s="114">
        <f>SUM(Audit[[#This Row],[Difference Winner]:[Difference Candidate 12]])</f>
        <v>0</v>
      </c>
      <c r="AS128" s="114">
        <f>IF(Audit[[#This Row],[Times p Drawn - With Replacement]]&gt;0, IF(Audit[[#This Row],[Canceled Differences]]&lt;0, Audit[[#This Row],[Max Differences]]+ABS(Audit[[#This Row],[Canceled Differences]]), Audit[[#This Row],[Max Differences]]), 0)</f>
        <v>0</v>
      </c>
      <c r="AT128" s="114">
        <f>'Sampling Data'!AB128</f>
        <v>3.7924277858542444E-4</v>
      </c>
      <c r="AU128" s="114">
        <f>IF(
      SUM(Audit[[#This Row],[Audit Losing Candidate]:[Audit Candidate 12]])
      &lt;&gt;0,
      (Audit[[#This Row],[Winning Candidate]]-Audit[[#This Row],[Losing Candidate]]-(Audit[[#This Row],[Audit Winning Candidate]]-Audit[[#This Row],[Audit Losing Candidate]]))/(Audit[[#Totals],[Winning Candidate]]-Audit[[#Totals],[Losing Candidate]]),
      0
)</f>
        <v>0</v>
      </c>
      <c r="AV1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8" s="114">
        <f>IF(Audit[[#This Row],[Max Relative Error (ep)]] = 0, 0, Audit[[#This Row],[Max Relative Error (ep)]]/Audit[[#This Row],[Error Bound (up) - Max. possible relative overstatement]])</f>
        <v>0</v>
      </c>
      <c r="BH1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8" s="114">
        <f t="shared" si="2"/>
        <v>1</v>
      </c>
      <c r="BJ128" s="114">
        <f>PRODUCT($BI$5:BI128)</f>
        <v>0.20973752198051165</v>
      </c>
      <c r="BK128" s="112">
        <f>1 - Audit[[#This Row],[K-M P Value]]</f>
        <v>0.79026247801948835</v>
      </c>
      <c r="BL128" s="114" t="str">
        <f>IF(Audit[[#This Row],[K-M P Value]]&gt;1-'General Info'!$B$12,"Continue", "Stop")</f>
        <v>Continue</v>
      </c>
      <c r="BM128" s="113" t="b">
        <f>IF(Audit[[#This Row],[Status - Continue or stop audit]] = "Continue", TRUE, IF(BL127 = "Continue", TRUE, FALSE))</f>
        <v>1</v>
      </c>
      <c r="BN128" s="113"/>
    </row>
    <row r="129" spans="1:66" ht="15" hidden="1" customHeight="1" x14ac:dyDescent="0.35">
      <c r="A129" s="114" t="str">
        <f>'Sampling Data'!AI129</f>
        <v/>
      </c>
      <c r="B129" s="114" t="str">
        <f>'Sampling Data'!A129</f>
        <v>2101 CIN 21-A   (AV)</v>
      </c>
      <c r="C129" s="114">
        <f>'Sampling Data'!B129</f>
        <v>7</v>
      </c>
      <c r="D129" s="114">
        <f>'Sampling Data'!C129</f>
        <v>3</v>
      </c>
      <c r="E129" s="115">
        <f>'Sampling Data'!D129</f>
        <v>3</v>
      </c>
      <c r="F129" s="115">
        <f>'Sampling Data'!E129</f>
        <v>0</v>
      </c>
      <c r="G129" s="115">
        <f>'Sampling Data'!F129</f>
        <v>0</v>
      </c>
      <c r="H129" s="115">
        <f>'Sampling Data'!G129</f>
        <v>0</v>
      </c>
      <c r="I129" s="115">
        <f>'Sampling Data'!H129</f>
        <v>0</v>
      </c>
      <c r="J129" s="115">
        <f>'Sampling Data'!I129</f>
        <v>0</v>
      </c>
      <c r="K129" s="115">
        <f>'Sampling Data'!J129</f>
        <v>0</v>
      </c>
      <c r="L129" s="115">
        <f>'Sampling Data'!K129</f>
        <v>0</v>
      </c>
      <c r="M129" s="115">
        <f>'Sampling Data'!L129</f>
        <v>0</v>
      </c>
      <c r="N129" s="115">
        <f>'Sampling Data'!M129</f>
        <v>0</v>
      </c>
      <c r="O129" s="114">
        <f>'Sampling Data'!N129</f>
        <v>0</v>
      </c>
      <c r="P129" s="114">
        <f>'Sampling Data'!O129</f>
        <v>0</v>
      </c>
      <c r="Q129" s="114">
        <f>'Sampling Data'!P129</f>
        <v>13</v>
      </c>
      <c r="R129" s="114">
        <f>'Sampling Data'!AJ129</f>
        <v>0</v>
      </c>
      <c r="S129" s="116"/>
      <c r="T129" s="116"/>
      <c r="U129" s="117"/>
      <c r="V129" s="117"/>
      <c r="W129" s="116"/>
      <c r="X129" s="116"/>
      <c r="Y129" s="116"/>
      <c r="Z129" s="116"/>
      <c r="AA129" s="15"/>
      <c r="AB129" s="15"/>
      <c r="AC129" s="15"/>
      <c r="AD129" s="15"/>
      <c r="AE129" s="118" t="str">
        <f>IF(NOT(ISBLANK(Audit[[#This Row],[Audit Winning Candidate]])), Audit[[#This Row],[Audit Winning Candidate]]-Audit[[#This Row],[Winning Candidate]], "")</f>
        <v/>
      </c>
      <c r="AF129" s="114" t="str">
        <f>IF(NOT(ISBLANK(Audit[[#This Row],[Audit Losing Candidate]])), Audit[[#This Row],[Audit Losing Candidate]]-Audit[[#This Row],[Losing Candidate]], "")</f>
        <v/>
      </c>
      <c r="AG129" s="114" t="str">
        <f>IF(NOT(ISBLANK(Audit[[#This Row],[Audit Candidate 3]])), Audit[[#This Row],[Audit Candidate 3]]-Audit[[#This Row],[Candidate 3]], "")</f>
        <v/>
      </c>
      <c r="AH129" s="114" t="str">
        <f>IF(NOT(ISBLANK(Audit[[#This Row],[Audit Candidate 4]])),Audit[[#This Row],[Audit Candidate 4]]-Audit[[#This Row],[Candidate 4]], "")</f>
        <v/>
      </c>
      <c r="AI129" s="114" t="str">
        <f>IF(NOT(ISBLANK(Audit[[#This Row],[Audit Candidate 5]])), Audit[[#This Row],[Audit Candidate 5]]-Audit[[#This Row],[Candidate 5]], "")</f>
        <v/>
      </c>
      <c r="AJ129" s="114" t="str">
        <f>IF(NOT(ISBLANK(Audit[[#This Row],[Audit Candidate 6]])), Audit[[#This Row],[Audit Candidate 6]]-Audit[[#This Row],[Candidate 6]], "")</f>
        <v/>
      </c>
      <c r="AK129" s="114" t="str">
        <f>IF(NOT(ISBLANK(Audit[[#This Row],[Audit Candidate 7]])), Audit[[#This Row],[Audit Candidate 7]]-Audit[[#This Row],[Candidate 7]], "")</f>
        <v/>
      </c>
      <c r="AL129" s="114" t="str">
        <f>IF(NOT(ISBLANK(Audit[[#This Row],[Audit Candidate 8]])), Audit[[#This Row],[Audit Candidate 8]]-Audit[[#This Row],[Candidate 8]], "")</f>
        <v/>
      </c>
      <c r="AM129" s="114" t="str">
        <f>IF(NOT(ISBLANK(Audit[[#This Row],[Audit Candidate 9]])), Audit[[#This Row],[Audit Candidate 9]]-Audit[[#This Row],[Candidate 9]], "")</f>
        <v/>
      </c>
      <c r="AN129" s="114" t="str">
        <f>IF(NOT(ISBLANK(Audit[[#This Row],[Audit Candidate 10]])), Audit[[#This Row],[Audit Candidate 10]]-Audit[[#This Row],[Candidate 10]], "")</f>
        <v/>
      </c>
      <c r="AO129" s="114" t="str">
        <f>IF(NOT(ISBLANK(Audit[[#This Row],[Audit Candidate 11]])), Audit[[#This Row],[Audit Candidate 11]]-Audit[[#This Row],[Candidate 11]], "")</f>
        <v/>
      </c>
      <c r="AP129" s="114" t="str">
        <f>IF(NOT(ISBLANK(Audit[[#This Row],[Audit Candidate 12]])), Audit[[#This Row],[Audit Candidate 12]]-Audit[[#This Row],[Candidate 12]], "")</f>
        <v/>
      </c>
      <c r="AQ129" s="114">
        <f>SUMIF(Audit[[#This Row],[Difference Winner]:[Difference Candidate 12]], "&gt;0")</f>
        <v>0</v>
      </c>
      <c r="AR129" s="114">
        <f>SUM(Audit[[#This Row],[Difference Winner]:[Difference Candidate 12]])</f>
        <v>0</v>
      </c>
      <c r="AS129" s="114">
        <f>IF(Audit[[#This Row],[Times p Drawn - With Replacement]]&gt;0, IF(Audit[[#This Row],[Canceled Differences]]&lt;0, Audit[[#This Row],[Max Differences]]+ABS(Audit[[#This Row],[Canceled Differences]]), Audit[[#This Row],[Max Differences]]), 0)</f>
        <v>0</v>
      </c>
      <c r="AT129" s="114">
        <f>'Sampling Data'!AB129</f>
        <v>1.0745212059920359E-3</v>
      </c>
      <c r="AU129" s="114">
        <f>IF(
      SUM(Audit[[#This Row],[Audit Losing Candidate]:[Audit Candidate 12]])
      &lt;&gt;0,
      (Audit[[#This Row],[Winning Candidate]]-Audit[[#This Row],[Losing Candidate]]-(Audit[[#This Row],[Audit Winning Candidate]]-Audit[[#This Row],[Audit Losing Candidate]]))/(Audit[[#Totals],[Winning Candidate]]-Audit[[#Totals],[Losing Candidate]]),
      0
)</f>
        <v>0</v>
      </c>
      <c r="AV1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9" s="114">
        <f>IF(Audit[[#This Row],[Max Relative Error (ep)]] = 0, 0, Audit[[#This Row],[Max Relative Error (ep)]]/Audit[[#This Row],[Error Bound (up) - Max. possible relative overstatement]])</f>
        <v>0</v>
      </c>
      <c r="BH1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29" s="114">
        <f t="shared" si="2"/>
        <v>1</v>
      </c>
      <c r="BJ129" s="114">
        <f>PRODUCT($BI$5:BI129)</f>
        <v>0.20973752198051165</v>
      </c>
      <c r="BK129" s="112">
        <f>1 - Audit[[#This Row],[K-M P Value]]</f>
        <v>0.79026247801948835</v>
      </c>
      <c r="BL129" s="114" t="str">
        <f>IF(Audit[[#This Row],[K-M P Value]]&gt;1-'General Info'!$B$12,"Continue", "Stop")</f>
        <v>Continue</v>
      </c>
      <c r="BM129" s="113" t="b">
        <f>IF(Audit[[#This Row],[Status - Continue or stop audit]] = "Continue", TRUE, IF(BL128 = "Continue", TRUE, FALSE))</f>
        <v>1</v>
      </c>
      <c r="BN129" s="113"/>
    </row>
    <row r="130" spans="1:66" ht="15" hidden="1" customHeight="1" x14ac:dyDescent="0.35">
      <c r="A130" s="114" t="str">
        <f>'Sampling Data'!AI130</f>
        <v/>
      </c>
      <c r="B130" s="114" t="str">
        <f>'Sampling Data'!A130</f>
        <v>2102 CIN 21-B   (AV)</v>
      </c>
      <c r="C130" s="114">
        <f>'Sampling Data'!B130</f>
        <v>3</v>
      </c>
      <c r="D130" s="114">
        <f>'Sampling Data'!C130</f>
        <v>0</v>
      </c>
      <c r="E130" s="115">
        <f>'Sampling Data'!D130</f>
        <v>0</v>
      </c>
      <c r="F130" s="115">
        <f>'Sampling Data'!E130</f>
        <v>0</v>
      </c>
      <c r="G130" s="115">
        <f>'Sampling Data'!F130</f>
        <v>0</v>
      </c>
      <c r="H130" s="115">
        <f>'Sampling Data'!G130</f>
        <v>0</v>
      </c>
      <c r="I130" s="115">
        <f>'Sampling Data'!H130</f>
        <v>0</v>
      </c>
      <c r="J130" s="115">
        <f>'Sampling Data'!I130</f>
        <v>0</v>
      </c>
      <c r="K130" s="115">
        <f>'Sampling Data'!J130</f>
        <v>0</v>
      </c>
      <c r="L130" s="115">
        <f>'Sampling Data'!K130</f>
        <v>0</v>
      </c>
      <c r="M130" s="115">
        <f>'Sampling Data'!L130</f>
        <v>0</v>
      </c>
      <c r="N130" s="115">
        <f>'Sampling Data'!M130</f>
        <v>0</v>
      </c>
      <c r="O130" s="114">
        <f>'Sampling Data'!N130</f>
        <v>0</v>
      </c>
      <c r="P130" s="114">
        <f>'Sampling Data'!O130</f>
        <v>0</v>
      </c>
      <c r="Q130" s="114">
        <f>'Sampling Data'!P130</f>
        <v>3</v>
      </c>
      <c r="R130" s="114">
        <f>'Sampling Data'!AJ130</f>
        <v>0</v>
      </c>
      <c r="S130" s="116"/>
      <c r="T130" s="116"/>
      <c r="U130" s="117"/>
      <c r="V130" s="117"/>
      <c r="W130" s="116"/>
      <c r="X130" s="116"/>
      <c r="Y130" s="116"/>
      <c r="Z130" s="116"/>
      <c r="AA130" s="15"/>
      <c r="AB130" s="15"/>
      <c r="AC130" s="15"/>
      <c r="AD130" s="15"/>
      <c r="AE130" s="118" t="str">
        <f>IF(NOT(ISBLANK(Audit[[#This Row],[Audit Winning Candidate]])), Audit[[#This Row],[Audit Winning Candidate]]-Audit[[#This Row],[Winning Candidate]], "")</f>
        <v/>
      </c>
      <c r="AF130" s="114" t="str">
        <f>IF(NOT(ISBLANK(Audit[[#This Row],[Audit Losing Candidate]])), Audit[[#This Row],[Audit Losing Candidate]]-Audit[[#This Row],[Losing Candidate]], "")</f>
        <v/>
      </c>
      <c r="AG130" s="114" t="str">
        <f>IF(NOT(ISBLANK(Audit[[#This Row],[Audit Candidate 3]])), Audit[[#This Row],[Audit Candidate 3]]-Audit[[#This Row],[Candidate 3]], "")</f>
        <v/>
      </c>
      <c r="AH130" s="114" t="str">
        <f>IF(NOT(ISBLANK(Audit[[#This Row],[Audit Candidate 4]])),Audit[[#This Row],[Audit Candidate 4]]-Audit[[#This Row],[Candidate 4]], "")</f>
        <v/>
      </c>
      <c r="AI130" s="114" t="str">
        <f>IF(NOT(ISBLANK(Audit[[#This Row],[Audit Candidate 5]])), Audit[[#This Row],[Audit Candidate 5]]-Audit[[#This Row],[Candidate 5]], "")</f>
        <v/>
      </c>
      <c r="AJ130" s="114" t="str">
        <f>IF(NOT(ISBLANK(Audit[[#This Row],[Audit Candidate 6]])), Audit[[#This Row],[Audit Candidate 6]]-Audit[[#This Row],[Candidate 6]], "")</f>
        <v/>
      </c>
      <c r="AK130" s="114" t="str">
        <f>IF(NOT(ISBLANK(Audit[[#This Row],[Audit Candidate 7]])), Audit[[#This Row],[Audit Candidate 7]]-Audit[[#This Row],[Candidate 7]], "")</f>
        <v/>
      </c>
      <c r="AL130" s="114" t="str">
        <f>IF(NOT(ISBLANK(Audit[[#This Row],[Audit Candidate 8]])), Audit[[#This Row],[Audit Candidate 8]]-Audit[[#This Row],[Candidate 8]], "")</f>
        <v/>
      </c>
      <c r="AM130" s="114" t="str">
        <f>IF(NOT(ISBLANK(Audit[[#This Row],[Audit Candidate 9]])), Audit[[#This Row],[Audit Candidate 9]]-Audit[[#This Row],[Candidate 9]], "")</f>
        <v/>
      </c>
      <c r="AN130" s="114" t="str">
        <f>IF(NOT(ISBLANK(Audit[[#This Row],[Audit Candidate 10]])), Audit[[#This Row],[Audit Candidate 10]]-Audit[[#This Row],[Candidate 10]], "")</f>
        <v/>
      </c>
      <c r="AO130" s="114" t="str">
        <f>IF(NOT(ISBLANK(Audit[[#This Row],[Audit Candidate 11]])), Audit[[#This Row],[Audit Candidate 11]]-Audit[[#This Row],[Candidate 11]], "")</f>
        <v/>
      </c>
      <c r="AP130" s="114" t="str">
        <f>IF(NOT(ISBLANK(Audit[[#This Row],[Audit Candidate 12]])), Audit[[#This Row],[Audit Candidate 12]]-Audit[[#This Row],[Candidate 12]], "")</f>
        <v/>
      </c>
      <c r="AQ130" s="114">
        <f>SUMIF(Audit[[#This Row],[Difference Winner]:[Difference Candidate 12]], "&gt;0")</f>
        <v>0</v>
      </c>
      <c r="AR130" s="114">
        <f>SUM(Audit[[#This Row],[Difference Winner]:[Difference Candidate 12]])</f>
        <v>0</v>
      </c>
      <c r="AS130" s="114">
        <f>IF(Audit[[#This Row],[Times p Drawn - With Replacement]]&gt;0, IF(Audit[[#This Row],[Canceled Differences]]&lt;0, Audit[[#This Row],[Max Differences]]+ABS(Audit[[#This Row],[Canceled Differences]]), Audit[[#This Row],[Max Differences]]), 0)</f>
        <v>0</v>
      </c>
      <c r="AT130" s="114">
        <f>'Sampling Data'!AB130</f>
        <v>3.7924277858542444E-4</v>
      </c>
      <c r="AU130" s="114">
        <f>IF(
      SUM(Audit[[#This Row],[Audit Losing Candidate]:[Audit Candidate 12]])
      &lt;&gt;0,
      (Audit[[#This Row],[Winning Candidate]]-Audit[[#This Row],[Losing Candidate]]-(Audit[[#This Row],[Audit Winning Candidate]]-Audit[[#This Row],[Audit Losing Candidate]]))/(Audit[[#Totals],[Winning Candidate]]-Audit[[#Totals],[Losing Candidate]]),
      0
)</f>
        <v>0</v>
      </c>
      <c r="AV1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0" s="114">
        <f>IF(Audit[[#This Row],[Max Relative Error (ep)]] = 0, 0, Audit[[#This Row],[Max Relative Error (ep)]]/Audit[[#This Row],[Error Bound (up) - Max. possible relative overstatement]])</f>
        <v>0</v>
      </c>
      <c r="BH1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0" s="114">
        <f t="shared" si="2"/>
        <v>1</v>
      </c>
      <c r="BJ130" s="114">
        <f>PRODUCT($BI$5:BI130)</f>
        <v>0.20973752198051165</v>
      </c>
      <c r="BK130" s="112">
        <f>1 - Audit[[#This Row],[K-M P Value]]</f>
        <v>0.79026247801948835</v>
      </c>
      <c r="BL130" s="114" t="str">
        <f>IF(Audit[[#This Row],[K-M P Value]]&gt;1-'General Info'!$B$12,"Continue", "Stop")</f>
        <v>Continue</v>
      </c>
      <c r="BM130" s="113" t="b">
        <f>IF(Audit[[#This Row],[Status - Continue or stop audit]] = "Continue", TRUE, IF(BL129 = "Continue", TRUE, FALSE))</f>
        <v>1</v>
      </c>
      <c r="BN130" s="113"/>
    </row>
    <row r="131" spans="1:66" ht="15" hidden="1" customHeight="1" x14ac:dyDescent="0.35">
      <c r="A131" s="114" t="str">
        <f>'Sampling Data'!AI131</f>
        <v/>
      </c>
      <c r="B131" s="114" t="str">
        <f>'Sampling Data'!A131</f>
        <v>2103 CIN 21-C   (AV)</v>
      </c>
      <c r="C131" s="114">
        <f>'Sampling Data'!B131</f>
        <v>6</v>
      </c>
      <c r="D131" s="114">
        <f>'Sampling Data'!C131</f>
        <v>4</v>
      </c>
      <c r="E131" s="115">
        <f>'Sampling Data'!D131</f>
        <v>0</v>
      </c>
      <c r="F131" s="115">
        <f>'Sampling Data'!E131</f>
        <v>0</v>
      </c>
      <c r="G131" s="115">
        <f>'Sampling Data'!F131</f>
        <v>0</v>
      </c>
      <c r="H131" s="115">
        <f>'Sampling Data'!G131</f>
        <v>0</v>
      </c>
      <c r="I131" s="115">
        <f>'Sampling Data'!H131</f>
        <v>0</v>
      </c>
      <c r="J131" s="115">
        <f>'Sampling Data'!I131</f>
        <v>0</v>
      </c>
      <c r="K131" s="115">
        <f>'Sampling Data'!J131</f>
        <v>0</v>
      </c>
      <c r="L131" s="115">
        <f>'Sampling Data'!K131</f>
        <v>0</v>
      </c>
      <c r="M131" s="115">
        <f>'Sampling Data'!L131</f>
        <v>0</v>
      </c>
      <c r="N131" s="115">
        <f>'Sampling Data'!M131</f>
        <v>0</v>
      </c>
      <c r="O131" s="114">
        <f>'Sampling Data'!N131</f>
        <v>0</v>
      </c>
      <c r="P131" s="114">
        <f>'Sampling Data'!O131</f>
        <v>0</v>
      </c>
      <c r="Q131" s="114">
        <f>'Sampling Data'!P131</f>
        <v>10</v>
      </c>
      <c r="R131" s="114">
        <f>'Sampling Data'!AJ131</f>
        <v>0</v>
      </c>
      <c r="S131" s="116"/>
      <c r="T131" s="116"/>
      <c r="U131" s="117"/>
      <c r="V131" s="117"/>
      <c r="W131" s="116"/>
      <c r="X131" s="116"/>
      <c r="Y131" s="116"/>
      <c r="Z131" s="116"/>
      <c r="AA131" s="15"/>
      <c r="AB131" s="15"/>
      <c r="AC131" s="15"/>
      <c r="AD131" s="15"/>
      <c r="AE131" s="118" t="str">
        <f>IF(NOT(ISBLANK(Audit[[#This Row],[Audit Winning Candidate]])), Audit[[#This Row],[Audit Winning Candidate]]-Audit[[#This Row],[Winning Candidate]], "")</f>
        <v/>
      </c>
      <c r="AF131" s="114" t="str">
        <f>IF(NOT(ISBLANK(Audit[[#This Row],[Audit Losing Candidate]])), Audit[[#This Row],[Audit Losing Candidate]]-Audit[[#This Row],[Losing Candidate]], "")</f>
        <v/>
      </c>
      <c r="AG131" s="114" t="str">
        <f>IF(NOT(ISBLANK(Audit[[#This Row],[Audit Candidate 3]])), Audit[[#This Row],[Audit Candidate 3]]-Audit[[#This Row],[Candidate 3]], "")</f>
        <v/>
      </c>
      <c r="AH131" s="114" t="str">
        <f>IF(NOT(ISBLANK(Audit[[#This Row],[Audit Candidate 4]])),Audit[[#This Row],[Audit Candidate 4]]-Audit[[#This Row],[Candidate 4]], "")</f>
        <v/>
      </c>
      <c r="AI131" s="114" t="str">
        <f>IF(NOT(ISBLANK(Audit[[#This Row],[Audit Candidate 5]])), Audit[[#This Row],[Audit Candidate 5]]-Audit[[#This Row],[Candidate 5]], "")</f>
        <v/>
      </c>
      <c r="AJ131" s="114" t="str">
        <f>IF(NOT(ISBLANK(Audit[[#This Row],[Audit Candidate 6]])), Audit[[#This Row],[Audit Candidate 6]]-Audit[[#This Row],[Candidate 6]], "")</f>
        <v/>
      </c>
      <c r="AK131" s="114" t="str">
        <f>IF(NOT(ISBLANK(Audit[[#This Row],[Audit Candidate 7]])), Audit[[#This Row],[Audit Candidate 7]]-Audit[[#This Row],[Candidate 7]], "")</f>
        <v/>
      </c>
      <c r="AL131" s="114" t="str">
        <f>IF(NOT(ISBLANK(Audit[[#This Row],[Audit Candidate 8]])), Audit[[#This Row],[Audit Candidate 8]]-Audit[[#This Row],[Candidate 8]], "")</f>
        <v/>
      </c>
      <c r="AM131" s="114" t="str">
        <f>IF(NOT(ISBLANK(Audit[[#This Row],[Audit Candidate 9]])), Audit[[#This Row],[Audit Candidate 9]]-Audit[[#This Row],[Candidate 9]], "")</f>
        <v/>
      </c>
      <c r="AN131" s="114" t="str">
        <f>IF(NOT(ISBLANK(Audit[[#This Row],[Audit Candidate 10]])), Audit[[#This Row],[Audit Candidate 10]]-Audit[[#This Row],[Candidate 10]], "")</f>
        <v/>
      </c>
      <c r="AO131" s="114" t="str">
        <f>IF(NOT(ISBLANK(Audit[[#This Row],[Audit Candidate 11]])), Audit[[#This Row],[Audit Candidate 11]]-Audit[[#This Row],[Candidate 11]], "")</f>
        <v/>
      </c>
      <c r="AP131" s="114" t="str">
        <f>IF(NOT(ISBLANK(Audit[[#This Row],[Audit Candidate 12]])), Audit[[#This Row],[Audit Candidate 12]]-Audit[[#This Row],[Candidate 12]], "")</f>
        <v/>
      </c>
      <c r="AQ131" s="114">
        <f>SUMIF(Audit[[#This Row],[Difference Winner]:[Difference Candidate 12]], "&gt;0")</f>
        <v>0</v>
      </c>
      <c r="AR131" s="114">
        <f>SUM(Audit[[#This Row],[Difference Winner]:[Difference Candidate 12]])</f>
        <v>0</v>
      </c>
      <c r="AS131" s="114">
        <f>IF(Audit[[#This Row],[Times p Drawn - With Replacement]]&gt;0, IF(Audit[[#This Row],[Canceled Differences]]&lt;0, Audit[[#This Row],[Max Differences]]+ABS(Audit[[#This Row],[Canceled Differences]]), Audit[[#This Row],[Max Differences]]), 0)</f>
        <v>0</v>
      </c>
      <c r="AT131" s="114">
        <f>'Sampling Data'!AB131</f>
        <v>9.0313840596071345E-4</v>
      </c>
      <c r="AU131" s="114">
        <f>IF(
      SUM(Audit[[#This Row],[Audit Losing Candidate]:[Audit Candidate 12]])
      &lt;&gt;0,
      (Audit[[#This Row],[Winning Candidate]]-Audit[[#This Row],[Losing Candidate]]-(Audit[[#This Row],[Audit Winning Candidate]]-Audit[[#This Row],[Audit Losing Candidate]]))/(Audit[[#Totals],[Winning Candidate]]-Audit[[#Totals],[Losing Candidate]]),
      0
)</f>
        <v>0</v>
      </c>
      <c r="AV1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1" s="114">
        <f>IF(Audit[[#This Row],[Max Relative Error (ep)]] = 0, 0, Audit[[#This Row],[Max Relative Error (ep)]]/Audit[[#This Row],[Error Bound (up) - Max. possible relative overstatement]])</f>
        <v>0</v>
      </c>
      <c r="BH1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1" s="114">
        <f t="shared" si="2"/>
        <v>1</v>
      </c>
      <c r="BJ131" s="114">
        <f>PRODUCT($BI$5:BI131)</f>
        <v>0.20973752198051165</v>
      </c>
      <c r="BK131" s="112">
        <f>1 - Audit[[#This Row],[K-M P Value]]</f>
        <v>0.79026247801948835</v>
      </c>
      <c r="BL131" s="114" t="str">
        <f>IF(Audit[[#This Row],[K-M P Value]]&gt;1-'General Info'!$B$12,"Continue", "Stop")</f>
        <v>Continue</v>
      </c>
      <c r="BM131" s="113" t="b">
        <f>IF(Audit[[#This Row],[Status - Continue or stop audit]] = "Continue", TRUE, IF(BL130 = "Continue", TRUE, FALSE))</f>
        <v>1</v>
      </c>
      <c r="BN131" s="113"/>
    </row>
    <row r="132" spans="1:66" ht="15" hidden="1" customHeight="1" x14ac:dyDescent="0.35">
      <c r="A132" s="114" t="str">
        <f>'Sampling Data'!AI132</f>
        <v/>
      </c>
      <c r="B132" s="114" t="str">
        <f>'Sampling Data'!A132</f>
        <v>2104 CIN 21-D   (AV)</v>
      </c>
      <c r="C132" s="114">
        <f>'Sampling Data'!B132</f>
        <v>5</v>
      </c>
      <c r="D132" s="114">
        <f>'Sampling Data'!C132</f>
        <v>0</v>
      </c>
      <c r="E132" s="115">
        <f>'Sampling Data'!D132</f>
        <v>1</v>
      </c>
      <c r="F132" s="115">
        <f>'Sampling Data'!E132</f>
        <v>0</v>
      </c>
      <c r="G132" s="115">
        <f>'Sampling Data'!F132</f>
        <v>0</v>
      </c>
      <c r="H132" s="115">
        <f>'Sampling Data'!G132</f>
        <v>0</v>
      </c>
      <c r="I132" s="115">
        <f>'Sampling Data'!H132</f>
        <v>0</v>
      </c>
      <c r="J132" s="115">
        <f>'Sampling Data'!I132</f>
        <v>0</v>
      </c>
      <c r="K132" s="115">
        <f>'Sampling Data'!J132</f>
        <v>0</v>
      </c>
      <c r="L132" s="115">
        <f>'Sampling Data'!K132</f>
        <v>0</v>
      </c>
      <c r="M132" s="115">
        <f>'Sampling Data'!L132</f>
        <v>0</v>
      </c>
      <c r="N132" s="115">
        <f>'Sampling Data'!M132</f>
        <v>0</v>
      </c>
      <c r="O132" s="114">
        <f>'Sampling Data'!N132</f>
        <v>0</v>
      </c>
      <c r="P132" s="114">
        <f>'Sampling Data'!O132</f>
        <v>0</v>
      </c>
      <c r="Q132" s="114">
        <f>'Sampling Data'!P132</f>
        <v>6</v>
      </c>
      <c r="R132" s="114">
        <f>'Sampling Data'!AJ132</f>
        <v>0</v>
      </c>
      <c r="S132" s="116"/>
      <c r="T132" s="116"/>
      <c r="U132" s="117"/>
      <c r="V132" s="117"/>
      <c r="W132" s="116"/>
      <c r="X132" s="116"/>
      <c r="Y132" s="116"/>
      <c r="Z132" s="116"/>
      <c r="AA132" s="15"/>
      <c r="AB132" s="15"/>
      <c r="AC132" s="15"/>
      <c r="AD132" s="15"/>
      <c r="AE132" s="118" t="str">
        <f>IF(NOT(ISBLANK(Audit[[#This Row],[Audit Winning Candidate]])), Audit[[#This Row],[Audit Winning Candidate]]-Audit[[#This Row],[Winning Candidate]], "")</f>
        <v/>
      </c>
      <c r="AF132" s="114" t="str">
        <f>IF(NOT(ISBLANK(Audit[[#This Row],[Audit Losing Candidate]])), Audit[[#This Row],[Audit Losing Candidate]]-Audit[[#This Row],[Losing Candidate]], "")</f>
        <v/>
      </c>
      <c r="AG132" s="114" t="str">
        <f>IF(NOT(ISBLANK(Audit[[#This Row],[Audit Candidate 3]])), Audit[[#This Row],[Audit Candidate 3]]-Audit[[#This Row],[Candidate 3]], "")</f>
        <v/>
      </c>
      <c r="AH132" s="114" t="str">
        <f>IF(NOT(ISBLANK(Audit[[#This Row],[Audit Candidate 4]])),Audit[[#This Row],[Audit Candidate 4]]-Audit[[#This Row],[Candidate 4]], "")</f>
        <v/>
      </c>
      <c r="AI132" s="114" t="str">
        <f>IF(NOT(ISBLANK(Audit[[#This Row],[Audit Candidate 5]])), Audit[[#This Row],[Audit Candidate 5]]-Audit[[#This Row],[Candidate 5]], "")</f>
        <v/>
      </c>
      <c r="AJ132" s="114" t="str">
        <f>IF(NOT(ISBLANK(Audit[[#This Row],[Audit Candidate 6]])), Audit[[#This Row],[Audit Candidate 6]]-Audit[[#This Row],[Candidate 6]], "")</f>
        <v/>
      </c>
      <c r="AK132" s="114" t="str">
        <f>IF(NOT(ISBLANK(Audit[[#This Row],[Audit Candidate 7]])), Audit[[#This Row],[Audit Candidate 7]]-Audit[[#This Row],[Candidate 7]], "")</f>
        <v/>
      </c>
      <c r="AL132" s="114" t="str">
        <f>IF(NOT(ISBLANK(Audit[[#This Row],[Audit Candidate 8]])), Audit[[#This Row],[Audit Candidate 8]]-Audit[[#This Row],[Candidate 8]], "")</f>
        <v/>
      </c>
      <c r="AM132" s="114" t="str">
        <f>IF(NOT(ISBLANK(Audit[[#This Row],[Audit Candidate 9]])), Audit[[#This Row],[Audit Candidate 9]]-Audit[[#This Row],[Candidate 9]], "")</f>
        <v/>
      </c>
      <c r="AN132" s="114" t="str">
        <f>IF(NOT(ISBLANK(Audit[[#This Row],[Audit Candidate 10]])), Audit[[#This Row],[Audit Candidate 10]]-Audit[[#This Row],[Candidate 10]], "")</f>
        <v/>
      </c>
      <c r="AO132" s="114" t="str">
        <f>IF(NOT(ISBLANK(Audit[[#This Row],[Audit Candidate 11]])), Audit[[#This Row],[Audit Candidate 11]]-Audit[[#This Row],[Candidate 11]], "")</f>
        <v/>
      </c>
      <c r="AP132" s="114" t="str">
        <f>IF(NOT(ISBLANK(Audit[[#This Row],[Audit Candidate 12]])), Audit[[#This Row],[Audit Candidate 12]]-Audit[[#This Row],[Candidate 12]], "")</f>
        <v/>
      </c>
      <c r="AQ132" s="114">
        <f>SUMIF(Audit[[#This Row],[Difference Winner]:[Difference Candidate 12]], "&gt;0")</f>
        <v>0</v>
      </c>
      <c r="AR132" s="114">
        <f>SUM(Audit[[#This Row],[Difference Winner]:[Difference Candidate 12]])</f>
        <v>0</v>
      </c>
      <c r="AS132" s="114">
        <f>IF(Audit[[#This Row],[Times p Drawn - With Replacement]]&gt;0, IF(Audit[[#This Row],[Canceled Differences]]&lt;0, Audit[[#This Row],[Max Differences]]+ABS(Audit[[#This Row],[Canceled Differences]]), Audit[[#This Row],[Max Differences]]), 0)</f>
        <v>0</v>
      </c>
      <c r="AT132" s="114">
        <f>'Sampling Data'!AB132</f>
        <v>6.9527842740661143E-4</v>
      </c>
      <c r="AU132" s="114">
        <f>IF(
      SUM(Audit[[#This Row],[Audit Losing Candidate]:[Audit Candidate 12]])
      &lt;&gt;0,
      (Audit[[#This Row],[Winning Candidate]]-Audit[[#This Row],[Losing Candidate]]-(Audit[[#This Row],[Audit Winning Candidate]]-Audit[[#This Row],[Audit Losing Candidate]]))/(Audit[[#Totals],[Winning Candidate]]-Audit[[#Totals],[Losing Candidate]]),
      0
)</f>
        <v>0</v>
      </c>
      <c r="AV1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2" s="114">
        <f>IF(Audit[[#This Row],[Max Relative Error (ep)]] = 0, 0, Audit[[#This Row],[Max Relative Error (ep)]]/Audit[[#This Row],[Error Bound (up) - Max. possible relative overstatement]])</f>
        <v>0</v>
      </c>
      <c r="BH1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2" s="114">
        <f t="shared" si="2"/>
        <v>1</v>
      </c>
      <c r="BJ132" s="114">
        <f>PRODUCT($BI$5:BI132)</f>
        <v>0.20973752198051165</v>
      </c>
      <c r="BK132" s="112">
        <f>1 - Audit[[#This Row],[K-M P Value]]</f>
        <v>0.79026247801948835</v>
      </c>
      <c r="BL132" s="114" t="str">
        <f>IF(Audit[[#This Row],[K-M P Value]]&gt;1-'General Info'!$B$12,"Continue", "Stop")</f>
        <v>Continue</v>
      </c>
      <c r="BM132" s="113" t="b">
        <f>IF(Audit[[#This Row],[Status - Continue or stop audit]] = "Continue", TRUE, IF(BL131 = "Continue", TRUE, FALSE))</f>
        <v>1</v>
      </c>
      <c r="BN132" s="113"/>
    </row>
    <row r="133" spans="1:66" ht="15" hidden="1" customHeight="1" x14ac:dyDescent="0.35">
      <c r="A133" s="114" t="str">
        <f>'Sampling Data'!AI133</f>
        <v/>
      </c>
      <c r="B133" s="114" t="str">
        <f>'Sampling Data'!A133</f>
        <v>2105 CIN 21-E   (AV)</v>
      </c>
      <c r="C133" s="114">
        <f>'Sampling Data'!B133</f>
        <v>2</v>
      </c>
      <c r="D133" s="114">
        <f>'Sampling Data'!C133</f>
        <v>0</v>
      </c>
      <c r="E133" s="115">
        <f>'Sampling Data'!D133</f>
        <v>0</v>
      </c>
      <c r="F133" s="115">
        <f>'Sampling Data'!E133</f>
        <v>0</v>
      </c>
      <c r="G133" s="115">
        <f>'Sampling Data'!F133</f>
        <v>0</v>
      </c>
      <c r="H133" s="115">
        <f>'Sampling Data'!G133</f>
        <v>0</v>
      </c>
      <c r="I133" s="115">
        <f>'Sampling Data'!H133</f>
        <v>0</v>
      </c>
      <c r="J133" s="115">
        <f>'Sampling Data'!I133</f>
        <v>0</v>
      </c>
      <c r="K133" s="115">
        <f>'Sampling Data'!J133</f>
        <v>0</v>
      </c>
      <c r="L133" s="115">
        <f>'Sampling Data'!K133</f>
        <v>0</v>
      </c>
      <c r="M133" s="115">
        <f>'Sampling Data'!L133</f>
        <v>0</v>
      </c>
      <c r="N133" s="115">
        <f>'Sampling Data'!M133</f>
        <v>0</v>
      </c>
      <c r="O133" s="114">
        <f>'Sampling Data'!N133</f>
        <v>0</v>
      </c>
      <c r="P133" s="114">
        <f>'Sampling Data'!O133</f>
        <v>0</v>
      </c>
      <c r="Q133" s="114">
        <f>'Sampling Data'!P133</f>
        <v>2</v>
      </c>
      <c r="R133" s="114">
        <f>'Sampling Data'!AJ133</f>
        <v>0</v>
      </c>
      <c r="S133" s="116"/>
      <c r="T133" s="116"/>
      <c r="U133" s="117"/>
      <c r="V133" s="117"/>
      <c r="W133" s="116"/>
      <c r="X133" s="116"/>
      <c r="Y133" s="116"/>
      <c r="Z133" s="116"/>
      <c r="AA133" s="15"/>
      <c r="AB133" s="15"/>
      <c r="AC133" s="15"/>
      <c r="AD133" s="15"/>
      <c r="AE133" s="118" t="str">
        <f>IF(NOT(ISBLANK(Audit[[#This Row],[Audit Winning Candidate]])), Audit[[#This Row],[Audit Winning Candidate]]-Audit[[#This Row],[Winning Candidate]], "")</f>
        <v/>
      </c>
      <c r="AF133" s="114" t="str">
        <f>IF(NOT(ISBLANK(Audit[[#This Row],[Audit Losing Candidate]])), Audit[[#This Row],[Audit Losing Candidate]]-Audit[[#This Row],[Losing Candidate]], "")</f>
        <v/>
      </c>
      <c r="AG133" s="114" t="str">
        <f>IF(NOT(ISBLANK(Audit[[#This Row],[Audit Candidate 3]])), Audit[[#This Row],[Audit Candidate 3]]-Audit[[#This Row],[Candidate 3]], "")</f>
        <v/>
      </c>
      <c r="AH133" s="114" t="str">
        <f>IF(NOT(ISBLANK(Audit[[#This Row],[Audit Candidate 4]])),Audit[[#This Row],[Audit Candidate 4]]-Audit[[#This Row],[Candidate 4]], "")</f>
        <v/>
      </c>
      <c r="AI133" s="114" t="str">
        <f>IF(NOT(ISBLANK(Audit[[#This Row],[Audit Candidate 5]])), Audit[[#This Row],[Audit Candidate 5]]-Audit[[#This Row],[Candidate 5]], "")</f>
        <v/>
      </c>
      <c r="AJ133" s="114" t="str">
        <f>IF(NOT(ISBLANK(Audit[[#This Row],[Audit Candidate 6]])), Audit[[#This Row],[Audit Candidate 6]]-Audit[[#This Row],[Candidate 6]], "")</f>
        <v/>
      </c>
      <c r="AK133" s="114" t="str">
        <f>IF(NOT(ISBLANK(Audit[[#This Row],[Audit Candidate 7]])), Audit[[#This Row],[Audit Candidate 7]]-Audit[[#This Row],[Candidate 7]], "")</f>
        <v/>
      </c>
      <c r="AL133" s="114" t="str">
        <f>IF(NOT(ISBLANK(Audit[[#This Row],[Audit Candidate 8]])), Audit[[#This Row],[Audit Candidate 8]]-Audit[[#This Row],[Candidate 8]], "")</f>
        <v/>
      </c>
      <c r="AM133" s="114" t="str">
        <f>IF(NOT(ISBLANK(Audit[[#This Row],[Audit Candidate 9]])), Audit[[#This Row],[Audit Candidate 9]]-Audit[[#This Row],[Candidate 9]], "")</f>
        <v/>
      </c>
      <c r="AN133" s="114" t="str">
        <f>IF(NOT(ISBLANK(Audit[[#This Row],[Audit Candidate 10]])), Audit[[#This Row],[Audit Candidate 10]]-Audit[[#This Row],[Candidate 10]], "")</f>
        <v/>
      </c>
      <c r="AO133" s="114" t="str">
        <f>IF(NOT(ISBLANK(Audit[[#This Row],[Audit Candidate 11]])), Audit[[#This Row],[Audit Candidate 11]]-Audit[[#This Row],[Candidate 11]], "")</f>
        <v/>
      </c>
      <c r="AP133" s="114" t="str">
        <f>IF(NOT(ISBLANK(Audit[[#This Row],[Audit Candidate 12]])), Audit[[#This Row],[Audit Candidate 12]]-Audit[[#This Row],[Candidate 12]], "")</f>
        <v/>
      </c>
      <c r="AQ133" s="114">
        <f>SUMIF(Audit[[#This Row],[Difference Winner]:[Difference Candidate 12]], "&gt;0")</f>
        <v>0</v>
      </c>
      <c r="AR133" s="114">
        <f>SUM(Audit[[#This Row],[Difference Winner]:[Difference Candidate 12]])</f>
        <v>0</v>
      </c>
      <c r="AS133" s="114">
        <f>IF(Audit[[#This Row],[Times p Drawn - With Replacement]]&gt;0, IF(Audit[[#This Row],[Canceled Differences]]&lt;0, Audit[[#This Row],[Max Differences]]+ABS(Audit[[#This Row],[Canceled Differences]]), Audit[[#This Row],[Max Differences]]), 0)</f>
        <v>0</v>
      </c>
      <c r="AT133" s="114">
        <f>'Sampling Data'!AB133</f>
        <v>2.5282851905694963E-4</v>
      </c>
      <c r="AU133" s="114">
        <f>IF(
      SUM(Audit[[#This Row],[Audit Losing Candidate]:[Audit Candidate 12]])
      &lt;&gt;0,
      (Audit[[#This Row],[Winning Candidate]]-Audit[[#This Row],[Losing Candidate]]-(Audit[[#This Row],[Audit Winning Candidate]]-Audit[[#This Row],[Audit Losing Candidate]]))/(Audit[[#Totals],[Winning Candidate]]-Audit[[#Totals],[Losing Candidate]]),
      0
)</f>
        <v>0</v>
      </c>
      <c r="AV1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3" s="114">
        <f>IF(Audit[[#This Row],[Max Relative Error (ep)]] = 0, 0, Audit[[#This Row],[Max Relative Error (ep)]]/Audit[[#This Row],[Error Bound (up) - Max. possible relative overstatement]])</f>
        <v>0</v>
      </c>
      <c r="BH1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3" s="114">
        <f t="shared" si="2"/>
        <v>1</v>
      </c>
      <c r="BJ133" s="114">
        <f>PRODUCT($BI$5:BI133)</f>
        <v>0.20973752198051165</v>
      </c>
      <c r="BK133" s="112">
        <f>1 - Audit[[#This Row],[K-M P Value]]</f>
        <v>0.79026247801948835</v>
      </c>
      <c r="BL133" s="114" t="str">
        <f>IF(Audit[[#This Row],[K-M P Value]]&gt;1-'General Info'!$B$12,"Continue", "Stop")</f>
        <v>Continue</v>
      </c>
      <c r="BM133" s="113" t="b">
        <f>IF(Audit[[#This Row],[Status - Continue or stop audit]] = "Continue", TRUE, IF(BL132 = "Continue", TRUE, FALSE))</f>
        <v>1</v>
      </c>
      <c r="BN133" s="113"/>
    </row>
    <row r="134" spans="1:66" ht="15" hidden="1" customHeight="1" x14ac:dyDescent="0.35">
      <c r="A134" s="114" t="str">
        <f>'Sampling Data'!AI134</f>
        <v/>
      </c>
      <c r="B134" s="114" t="str">
        <f>'Sampling Data'!A134</f>
        <v>2201 CIN 22-A   (AV)</v>
      </c>
      <c r="C134" s="114">
        <f>'Sampling Data'!B134</f>
        <v>17</v>
      </c>
      <c r="D134" s="114">
        <f>'Sampling Data'!C134</f>
        <v>0</v>
      </c>
      <c r="E134" s="115">
        <f>'Sampling Data'!D134</f>
        <v>3</v>
      </c>
      <c r="F134" s="115">
        <f>'Sampling Data'!E134</f>
        <v>0</v>
      </c>
      <c r="G134" s="115">
        <f>'Sampling Data'!F134</f>
        <v>0</v>
      </c>
      <c r="H134" s="115">
        <f>'Sampling Data'!G134</f>
        <v>0</v>
      </c>
      <c r="I134" s="115">
        <f>'Sampling Data'!H134</f>
        <v>0</v>
      </c>
      <c r="J134" s="115">
        <f>'Sampling Data'!I134</f>
        <v>0</v>
      </c>
      <c r="K134" s="115">
        <f>'Sampling Data'!J134</f>
        <v>0</v>
      </c>
      <c r="L134" s="115">
        <f>'Sampling Data'!K134</f>
        <v>0</v>
      </c>
      <c r="M134" s="115">
        <f>'Sampling Data'!L134</f>
        <v>0</v>
      </c>
      <c r="N134" s="115">
        <f>'Sampling Data'!M134</f>
        <v>0</v>
      </c>
      <c r="O134" s="114">
        <f>'Sampling Data'!N134</f>
        <v>0</v>
      </c>
      <c r="P134" s="114">
        <f>'Sampling Data'!O134</f>
        <v>0</v>
      </c>
      <c r="Q134" s="114">
        <f>'Sampling Data'!P134</f>
        <v>20</v>
      </c>
      <c r="R134" s="114">
        <f>'Sampling Data'!AJ134</f>
        <v>0</v>
      </c>
      <c r="S134" s="116"/>
      <c r="T134" s="116"/>
      <c r="U134" s="117"/>
      <c r="V134" s="117"/>
      <c r="W134" s="116"/>
      <c r="X134" s="116"/>
      <c r="Y134" s="116"/>
      <c r="Z134" s="116"/>
      <c r="AA134" s="15"/>
      <c r="AB134" s="15"/>
      <c r="AC134" s="15"/>
      <c r="AD134" s="15"/>
      <c r="AE134" s="118" t="str">
        <f>IF(NOT(ISBLANK(Audit[[#This Row],[Audit Winning Candidate]])), Audit[[#This Row],[Audit Winning Candidate]]-Audit[[#This Row],[Winning Candidate]], "")</f>
        <v/>
      </c>
      <c r="AF134" s="114" t="str">
        <f>IF(NOT(ISBLANK(Audit[[#This Row],[Audit Losing Candidate]])), Audit[[#This Row],[Audit Losing Candidate]]-Audit[[#This Row],[Losing Candidate]], "")</f>
        <v/>
      </c>
      <c r="AG134" s="114" t="str">
        <f>IF(NOT(ISBLANK(Audit[[#This Row],[Audit Candidate 3]])), Audit[[#This Row],[Audit Candidate 3]]-Audit[[#This Row],[Candidate 3]], "")</f>
        <v/>
      </c>
      <c r="AH134" s="114" t="str">
        <f>IF(NOT(ISBLANK(Audit[[#This Row],[Audit Candidate 4]])),Audit[[#This Row],[Audit Candidate 4]]-Audit[[#This Row],[Candidate 4]], "")</f>
        <v/>
      </c>
      <c r="AI134" s="114" t="str">
        <f>IF(NOT(ISBLANK(Audit[[#This Row],[Audit Candidate 5]])), Audit[[#This Row],[Audit Candidate 5]]-Audit[[#This Row],[Candidate 5]], "")</f>
        <v/>
      </c>
      <c r="AJ134" s="114" t="str">
        <f>IF(NOT(ISBLANK(Audit[[#This Row],[Audit Candidate 6]])), Audit[[#This Row],[Audit Candidate 6]]-Audit[[#This Row],[Candidate 6]], "")</f>
        <v/>
      </c>
      <c r="AK134" s="114" t="str">
        <f>IF(NOT(ISBLANK(Audit[[#This Row],[Audit Candidate 7]])), Audit[[#This Row],[Audit Candidate 7]]-Audit[[#This Row],[Candidate 7]], "")</f>
        <v/>
      </c>
      <c r="AL134" s="114" t="str">
        <f>IF(NOT(ISBLANK(Audit[[#This Row],[Audit Candidate 8]])), Audit[[#This Row],[Audit Candidate 8]]-Audit[[#This Row],[Candidate 8]], "")</f>
        <v/>
      </c>
      <c r="AM134" s="114" t="str">
        <f>IF(NOT(ISBLANK(Audit[[#This Row],[Audit Candidate 9]])), Audit[[#This Row],[Audit Candidate 9]]-Audit[[#This Row],[Candidate 9]], "")</f>
        <v/>
      </c>
      <c r="AN134" s="114" t="str">
        <f>IF(NOT(ISBLANK(Audit[[#This Row],[Audit Candidate 10]])), Audit[[#This Row],[Audit Candidate 10]]-Audit[[#This Row],[Candidate 10]], "")</f>
        <v/>
      </c>
      <c r="AO134" s="114" t="str">
        <f>IF(NOT(ISBLANK(Audit[[#This Row],[Audit Candidate 11]])), Audit[[#This Row],[Audit Candidate 11]]-Audit[[#This Row],[Candidate 11]], "")</f>
        <v/>
      </c>
      <c r="AP134" s="114" t="str">
        <f>IF(NOT(ISBLANK(Audit[[#This Row],[Audit Candidate 12]])), Audit[[#This Row],[Audit Candidate 12]]-Audit[[#This Row],[Candidate 12]], "")</f>
        <v/>
      </c>
      <c r="AQ134" s="114">
        <f>SUMIF(Audit[[#This Row],[Difference Winner]:[Difference Candidate 12]], "&gt;0")</f>
        <v>0</v>
      </c>
      <c r="AR134" s="114">
        <f>SUM(Audit[[#This Row],[Difference Winner]:[Difference Candidate 12]])</f>
        <v>0</v>
      </c>
      <c r="AS134" s="114">
        <f>IF(Audit[[#This Row],[Times p Drawn - With Replacement]]&gt;0, IF(Audit[[#This Row],[Canceled Differences]]&lt;0, Audit[[#This Row],[Max Differences]]+ABS(Audit[[#This Row],[Canceled Differences]]), Audit[[#This Row],[Max Differences]]), 0)</f>
        <v>0</v>
      </c>
      <c r="AT134" s="114">
        <f>'Sampling Data'!AB134</f>
        <v>2.338663801276784E-3</v>
      </c>
      <c r="AU134" s="114">
        <f>IF(
      SUM(Audit[[#This Row],[Audit Losing Candidate]:[Audit Candidate 12]])
      &lt;&gt;0,
      (Audit[[#This Row],[Winning Candidate]]-Audit[[#This Row],[Losing Candidate]]-(Audit[[#This Row],[Audit Winning Candidate]]-Audit[[#This Row],[Audit Losing Candidate]]))/(Audit[[#Totals],[Winning Candidate]]-Audit[[#Totals],[Losing Candidate]]),
      0
)</f>
        <v>0</v>
      </c>
      <c r="AV1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4" s="114">
        <f>IF(Audit[[#This Row],[Max Relative Error (ep)]] = 0, 0, Audit[[#This Row],[Max Relative Error (ep)]]/Audit[[#This Row],[Error Bound (up) - Max. possible relative overstatement]])</f>
        <v>0</v>
      </c>
      <c r="BH1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4" s="114">
        <f t="shared" si="2"/>
        <v>1</v>
      </c>
      <c r="BJ134" s="114">
        <f>PRODUCT($BI$5:BI134)</f>
        <v>0.20973752198051165</v>
      </c>
      <c r="BK134" s="112">
        <f>1 - Audit[[#This Row],[K-M P Value]]</f>
        <v>0.79026247801948835</v>
      </c>
      <c r="BL134" s="114" t="str">
        <f>IF(Audit[[#This Row],[K-M P Value]]&gt;1-'General Info'!$B$12,"Continue", "Stop")</f>
        <v>Continue</v>
      </c>
      <c r="BM134" s="113" t="b">
        <f>IF(Audit[[#This Row],[Status - Continue or stop audit]] = "Continue", TRUE, IF(BL133 = "Continue", TRUE, FALSE))</f>
        <v>1</v>
      </c>
      <c r="BN134" s="113"/>
    </row>
    <row r="135" spans="1:66" ht="15" hidden="1" customHeight="1" x14ac:dyDescent="0.35">
      <c r="A135" s="114" t="str">
        <f>'Sampling Data'!AI135</f>
        <v/>
      </c>
      <c r="B135" s="114" t="str">
        <f>'Sampling Data'!A135</f>
        <v>2202 CIN 22-B   (AV)</v>
      </c>
      <c r="C135" s="114">
        <f>'Sampling Data'!B135</f>
        <v>12</v>
      </c>
      <c r="D135" s="114">
        <f>'Sampling Data'!C135</f>
        <v>0</v>
      </c>
      <c r="E135" s="115">
        <f>'Sampling Data'!D135</f>
        <v>0</v>
      </c>
      <c r="F135" s="115">
        <f>'Sampling Data'!E135</f>
        <v>0</v>
      </c>
      <c r="G135" s="115">
        <f>'Sampling Data'!F135</f>
        <v>0</v>
      </c>
      <c r="H135" s="115">
        <f>'Sampling Data'!G135</f>
        <v>0</v>
      </c>
      <c r="I135" s="115">
        <f>'Sampling Data'!H135</f>
        <v>0</v>
      </c>
      <c r="J135" s="115">
        <f>'Sampling Data'!I135</f>
        <v>0</v>
      </c>
      <c r="K135" s="115">
        <f>'Sampling Data'!J135</f>
        <v>0</v>
      </c>
      <c r="L135" s="115">
        <f>'Sampling Data'!K135</f>
        <v>0</v>
      </c>
      <c r="M135" s="115">
        <f>'Sampling Data'!L135</f>
        <v>0</v>
      </c>
      <c r="N135" s="115">
        <f>'Sampling Data'!M135</f>
        <v>0</v>
      </c>
      <c r="O135" s="114">
        <f>'Sampling Data'!N135</f>
        <v>0</v>
      </c>
      <c r="P135" s="114">
        <f>'Sampling Data'!O135</f>
        <v>0</v>
      </c>
      <c r="Q135" s="114">
        <f>'Sampling Data'!P135</f>
        <v>12</v>
      </c>
      <c r="R135" s="114">
        <f>'Sampling Data'!AJ135</f>
        <v>0</v>
      </c>
      <c r="S135" s="116"/>
      <c r="T135" s="116"/>
      <c r="U135" s="117"/>
      <c r="V135" s="117"/>
      <c r="W135" s="116"/>
      <c r="X135" s="116"/>
      <c r="Y135" s="116"/>
      <c r="Z135" s="116"/>
      <c r="AA135" s="15"/>
      <c r="AB135" s="15"/>
      <c r="AC135" s="15"/>
      <c r="AD135" s="15"/>
      <c r="AE135" s="118" t="str">
        <f>IF(NOT(ISBLANK(Audit[[#This Row],[Audit Winning Candidate]])), Audit[[#This Row],[Audit Winning Candidate]]-Audit[[#This Row],[Winning Candidate]], "")</f>
        <v/>
      </c>
      <c r="AF135" s="114" t="str">
        <f>IF(NOT(ISBLANK(Audit[[#This Row],[Audit Losing Candidate]])), Audit[[#This Row],[Audit Losing Candidate]]-Audit[[#This Row],[Losing Candidate]], "")</f>
        <v/>
      </c>
      <c r="AG135" s="114" t="str">
        <f>IF(NOT(ISBLANK(Audit[[#This Row],[Audit Candidate 3]])), Audit[[#This Row],[Audit Candidate 3]]-Audit[[#This Row],[Candidate 3]], "")</f>
        <v/>
      </c>
      <c r="AH135" s="114" t="str">
        <f>IF(NOT(ISBLANK(Audit[[#This Row],[Audit Candidate 4]])),Audit[[#This Row],[Audit Candidate 4]]-Audit[[#This Row],[Candidate 4]], "")</f>
        <v/>
      </c>
      <c r="AI135" s="114" t="str">
        <f>IF(NOT(ISBLANK(Audit[[#This Row],[Audit Candidate 5]])), Audit[[#This Row],[Audit Candidate 5]]-Audit[[#This Row],[Candidate 5]], "")</f>
        <v/>
      </c>
      <c r="AJ135" s="114" t="str">
        <f>IF(NOT(ISBLANK(Audit[[#This Row],[Audit Candidate 6]])), Audit[[#This Row],[Audit Candidate 6]]-Audit[[#This Row],[Candidate 6]], "")</f>
        <v/>
      </c>
      <c r="AK135" s="114" t="str">
        <f>IF(NOT(ISBLANK(Audit[[#This Row],[Audit Candidate 7]])), Audit[[#This Row],[Audit Candidate 7]]-Audit[[#This Row],[Candidate 7]], "")</f>
        <v/>
      </c>
      <c r="AL135" s="114" t="str">
        <f>IF(NOT(ISBLANK(Audit[[#This Row],[Audit Candidate 8]])), Audit[[#This Row],[Audit Candidate 8]]-Audit[[#This Row],[Candidate 8]], "")</f>
        <v/>
      </c>
      <c r="AM135" s="114" t="str">
        <f>IF(NOT(ISBLANK(Audit[[#This Row],[Audit Candidate 9]])), Audit[[#This Row],[Audit Candidate 9]]-Audit[[#This Row],[Candidate 9]], "")</f>
        <v/>
      </c>
      <c r="AN135" s="114" t="str">
        <f>IF(NOT(ISBLANK(Audit[[#This Row],[Audit Candidate 10]])), Audit[[#This Row],[Audit Candidate 10]]-Audit[[#This Row],[Candidate 10]], "")</f>
        <v/>
      </c>
      <c r="AO135" s="114" t="str">
        <f>IF(NOT(ISBLANK(Audit[[#This Row],[Audit Candidate 11]])), Audit[[#This Row],[Audit Candidate 11]]-Audit[[#This Row],[Candidate 11]], "")</f>
        <v/>
      </c>
      <c r="AP135" s="114" t="str">
        <f>IF(NOT(ISBLANK(Audit[[#This Row],[Audit Candidate 12]])), Audit[[#This Row],[Audit Candidate 12]]-Audit[[#This Row],[Candidate 12]], "")</f>
        <v/>
      </c>
      <c r="AQ135" s="114">
        <f>SUMIF(Audit[[#This Row],[Difference Winner]:[Difference Candidate 12]], "&gt;0")</f>
        <v>0</v>
      </c>
      <c r="AR135" s="114">
        <f>SUM(Audit[[#This Row],[Difference Winner]:[Difference Candidate 12]])</f>
        <v>0</v>
      </c>
      <c r="AS135" s="114">
        <f>IF(Audit[[#This Row],[Times p Drawn - With Replacement]]&gt;0, IF(Audit[[#This Row],[Canceled Differences]]&lt;0, Audit[[#This Row],[Max Differences]]+ABS(Audit[[#This Row],[Canceled Differences]]), Audit[[#This Row],[Max Differences]]), 0)</f>
        <v>0</v>
      </c>
      <c r="AT135" s="114">
        <f>'Sampling Data'!AB135</f>
        <v>1.5169711143416978E-3</v>
      </c>
      <c r="AU135" s="114">
        <f>IF(
      SUM(Audit[[#This Row],[Audit Losing Candidate]:[Audit Candidate 12]])
      &lt;&gt;0,
      (Audit[[#This Row],[Winning Candidate]]-Audit[[#This Row],[Losing Candidate]]-(Audit[[#This Row],[Audit Winning Candidate]]-Audit[[#This Row],[Audit Losing Candidate]]))/(Audit[[#Totals],[Winning Candidate]]-Audit[[#Totals],[Losing Candidate]]),
      0
)</f>
        <v>0</v>
      </c>
      <c r="AV1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5" s="114">
        <f>IF(Audit[[#This Row],[Max Relative Error (ep)]] = 0, 0, Audit[[#This Row],[Max Relative Error (ep)]]/Audit[[#This Row],[Error Bound (up) - Max. possible relative overstatement]])</f>
        <v>0</v>
      </c>
      <c r="BH1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5" s="114">
        <f t="shared" si="2"/>
        <v>1</v>
      </c>
      <c r="BJ135" s="114">
        <f>PRODUCT($BI$5:BI135)</f>
        <v>0.20973752198051165</v>
      </c>
      <c r="BK135" s="112">
        <f>1 - Audit[[#This Row],[K-M P Value]]</f>
        <v>0.79026247801948835</v>
      </c>
      <c r="BL135" s="114" t="str">
        <f>IF(Audit[[#This Row],[K-M P Value]]&gt;1-'General Info'!$B$12,"Continue", "Stop")</f>
        <v>Continue</v>
      </c>
      <c r="BM135" s="113" t="b">
        <f>IF(Audit[[#This Row],[Status - Continue or stop audit]] = "Continue", TRUE, IF(BL134 = "Continue", TRUE, FALSE))</f>
        <v>1</v>
      </c>
      <c r="BN135" s="113"/>
    </row>
    <row r="136" spans="1:66" ht="15" hidden="1" customHeight="1" x14ac:dyDescent="0.35">
      <c r="A136" s="114" t="str">
        <f>'Sampling Data'!AI136</f>
        <v/>
      </c>
      <c r="B136" s="114" t="str">
        <f>'Sampling Data'!A136</f>
        <v>2203 CIN 22-C   (AV)</v>
      </c>
      <c r="C136" s="114">
        <f>'Sampling Data'!B136</f>
        <v>3</v>
      </c>
      <c r="D136" s="114">
        <f>'Sampling Data'!C136</f>
        <v>0</v>
      </c>
      <c r="E136" s="115">
        <f>'Sampling Data'!D136</f>
        <v>0</v>
      </c>
      <c r="F136" s="115">
        <f>'Sampling Data'!E136</f>
        <v>0</v>
      </c>
      <c r="G136" s="115">
        <f>'Sampling Data'!F136</f>
        <v>0</v>
      </c>
      <c r="H136" s="115">
        <f>'Sampling Data'!G136</f>
        <v>0</v>
      </c>
      <c r="I136" s="115">
        <f>'Sampling Data'!H136</f>
        <v>0</v>
      </c>
      <c r="J136" s="115">
        <f>'Sampling Data'!I136</f>
        <v>0</v>
      </c>
      <c r="K136" s="115">
        <f>'Sampling Data'!J136</f>
        <v>0</v>
      </c>
      <c r="L136" s="115">
        <f>'Sampling Data'!K136</f>
        <v>0</v>
      </c>
      <c r="M136" s="115">
        <f>'Sampling Data'!L136</f>
        <v>0</v>
      </c>
      <c r="N136" s="115">
        <f>'Sampling Data'!M136</f>
        <v>0</v>
      </c>
      <c r="O136" s="114">
        <f>'Sampling Data'!N136</f>
        <v>0</v>
      </c>
      <c r="P136" s="114">
        <f>'Sampling Data'!O136</f>
        <v>0</v>
      </c>
      <c r="Q136" s="114">
        <f>'Sampling Data'!P136</f>
        <v>3</v>
      </c>
      <c r="R136" s="114">
        <f>'Sampling Data'!AJ136</f>
        <v>0</v>
      </c>
      <c r="S136" s="116"/>
      <c r="T136" s="116"/>
      <c r="U136" s="117"/>
      <c r="V136" s="117"/>
      <c r="W136" s="116"/>
      <c r="X136" s="116"/>
      <c r="Y136" s="116"/>
      <c r="Z136" s="116"/>
      <c r="AA136" s="15"/>
      <c r="AB136" s="15"/>
      <c r="AC136" s="15"/>
      <c r="AD136" s="15"/>
      <c r="AE136" s="118" t="str">
        <f>IF(NOT(ISBLANK(Audit[[#This Row],[Audit Winning Candidate]])), Audit[[#This Row],[Audit Winning Candidate]]-Audit[[#This Row],[Winning Candidate]], "")</f>
        <v/>
      </c>
      <c r="AF136" s="114" t="str">
        <f>IF(NOT(ISBLANK(Audit[[#This Row],[Audit Losing Candidate]])), Audit[[#This Row],[Audit Losing Candidate]]-Audit[[#This Row],[Losing Candidate]], "")</f>
        <v/>
      </c>
      <c r="AG136" s="114" t="str">
        <f>IF(NOT(ISBLANK(Audit[[#This Row],[Audit Candidate 3]])), Audit[[#This Row],[Audit Candidate 3]]-Audit[[#This Row],[Candidate 3]], "")</f>
        <v/>
      </c>
      <c r="AH136" s="114" t="str">
        <f>IF(NOT(ISBLANK(Audit[[#This Row],[Audit Candidate 4]])),Audit[[#This Row],[Audit Candidate 4]]-Audit[[#This Row],[Candidate 4]], "")</f>
        <v/>
      </c>
      <c r="AI136" s="114" t="str">
        <f>IF(NOT(ISBLANK(Audit[[#This Row],[Audit Candidate 5]])), Audit[[#This Row],[Audit Candidate 5]]-Audit[[#This Row],[Candidate 5]], "")</f>
        <v/>
      </c>
      <c r="AJ136" s="114" t="str">
        <f>IF(NOT(ISBLANK(Audit[[#This Row],[Audit Candidate 6]])), Audit[[#This Row],[Audit Candidate 6]]-Audit[[#This Row],[Candidate 6]], "")</f>
        <v/>
      </c>
      <c r="AK136" s="114" t="str">
        <f>IF(NOT(ISBLANK(Audit[[#This Row],[Audit Candidate 7]])), Audit[[#This Row],[Audit Candidate 7]]-Audit[[#This Row],[Candidate 7]], "")</f>
        <v/>
      </c>
      <c r="AL136" s="114" t="str">
        <f>IF(NOT(ISBLANK(Audit[[#This Row],[Audit Candidate 8]])), Audit[[#This Row],[Audit Candidate 8]]-Audit[[#This Row],[Candidate 8]], "")</f>
        <v/>
      </c>
      <c r="AM136" s="114" t="str">
        <f>IF(NOT(ISBLANK(Audit[[#This Row],[Audit Candidate 9]])), Audit[[#This Row],[Audit Candidate 9]]-Audit[[#This Row],[Candidate 9]], "")</f>
        <v/>
      </c>
      <c r="AN136" s="114" t="str">
        <f>IF(NOT(ISBLANK(Audit[[#This Row],[Audit Candidate 10]])), Audit[[#This Row],[Audit Candidate 10]]-Audit[[#This Row],[Candidate 10]], "")</f>
        <v/>
      </c>
      <c r="AO136" s="114" t="str">
        <f>IF(NOT(ISBLANK(Audit[[#This Row],[Audit Candidate 11]])), Audit[[#This Row],[Audit Candidate 11]]-Audit[[#This Row],[Candidate 11]], "")</f>
        <v/>
      </c>
      <c r="AP136" s="114" t="str">
        <f>IF(NOT(ISBLANK(Audit[[#This Row],[Audit Candidate 12]])), Audit[[#This Row],[Audit Candidate 12]]-Audit[[#This Row],[Candidate 12]], "")</f>
        <v/>
      </c>
      <c r="AQ136" s="114">
        <f>SUMIF(Audit[[#This Row],[Difference Winner]:[Difference Candidate 12]], "&gt;0")</f>
        <v>0</v>
      </c>
      <c r="AR136" s="114">
        <f>SUM(Audit[[#This Row],[Difference Winner]:[Difference Candidate 12]])</f>
        <v>0</v>
      </c>
      <c r="AS136" s="114">
        <f>IF(Audit[[#This Row],[Times p Drawn - With Replacement]]&gt;0, IF(Audit[[#This Row],[Canceled Differences]]&lt;0, Audit[[#This Row],[Max Differences]]+ABS(Audit[[#This Row],[Canceled Differences]]), Audit[[#This Row],[Max Differences]]), 0)</f>
        <v>0</v>
      </c>
      <c r="AT136" s="114">
        <f>'Sampling Data'!AB136</f>
        <v>3.7924277858542444E-4</v>
      </c>
      <c r="AU136" s="114">
        <f>IF(
      SUM(Audit[[#This Row],[Audit Losing Candidate]:[Audit Candidate 12]])
      &lt;&gt;0,
      (Audit[[#This Row],[Winning Candidate]]-Audit[[#This Row],[Losing Candidate]]-(Audit[[#This Row],[Audit Winning Candidate]]-Audit[[#This Row],[Audit Losing Candidate]]))/(Audit[[#Totals],[Winning Candidate]]-Audit[[#Totals],[Losing Candidate]]),
      0
)</f>
        <v>0</v>
      </c>
      <c r="AV1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6" s="114">
        <f>IF(Audit[[#This Row],[Max Relative Error (ep)]] = 0, 0, Audit[[#This Row],[Max Relative Error (ep)]]/Audit[[#This Row],[Error Bound (up) - Max. possible relative overstatement]])</f>
        <v>0</v>
      </c>
      <c r="BH1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6" s="114">
        <f t="shared" si="2"/>
        <v>1</v>
      </c>
      <c r="BJ136" s="114">
        <f>PRODUCT($BI$5:BI136)</f>
        <v>0.20973752198051165</v>
      </c>
      <c r="BK136" s="112">
        <f>1 - Audit[[#This Row],[K-M P Value]]</f>
        <v>0.79026247801948835</v>
      </c>
      <c r="BL136" s="114" t="str">
        <f>IF(Audit[[#This Row],[K-M P Value]]&gt;1-'General Info'!$B$12,"Continue", "Stop")</f>
        <v>Continue</v>
      </c>
      <c r="BM136" s="113" t="b">
        <f>IF(Audit[[#This Row],[Status - Continue or stop audit]] = "Continue", TRUE, IF(BL135 = "Continue", TRUE, FALSE))</f>
        <v>1</v>
      </c>
      <c r="BN136" s="113"/>
    </row>
    <row r="137" spans="1:66" ht="15" hidden="1" customHeight="1" x14ac:dyDescent="0.35">
      <c r="A137" s="114" t="str">
        <f>'Sampling Data'!AI137</f>
        <v/>
      </c>
      <c r="B137" s="114" t="str">
        <f>'Sampling Data'!A137</f>
        <v>2301 CIN 23-A   (AV)</v>
      </c>
      <c r="C137" s="114">
        <f>'Sampling Data'!B137</f>
        <v>36</v>
      </c>
      <c r="D137" s="114">
        <f>'Sampling Data'!C137</f>
        <v>2</v>
      </c>
      <c r="E137" s="115">
        <f>'Sampling Data'!D137</f>
        <v>1</v>
      </c>
      <c r="F137" s="115">
        <f>'Sampling Data'!E137</f>
        <v>0</v>
      </c>
      <c r="G137" s="115">
        <f>'Sampling Data'!F137</f>
        <v>0</v>
      </c>
      <c r="H137" s="115">
        <f>'Sampling Data'!G137</f>
        <v>0</v>
      </c>
      <c r="I137" s="115">
        <f>'Sampling Data'!H137</f>
        <v>0</v>
      </c>
      <c r="J137" s="115">
        <f>'Sampling Data'!I137</f>
        <v>0</v>
      </c>
      <c r="K137" s="115">
        <f>'Sampling Data'!J137</f>
        <v>0</v>
      </c>
      <c r="L137" s="115">
        <f>'Sampling Data'!K137</f>
        <v>0</v>
      </c>
      <c r="M137" s="115">
        <f>'Sampling Data'!L137</f>
        <v>0</v>
      </c>
      <c r="N137" s="115">
        <f>'Sampling Data'!M137</f>
        <v>0</v>
      </c>
      <c r="O137" s="114">
        <f>'Sampling Data'!N137</f>
        <v>0</v>
      </c>
      <c r="P137" s="114">
        <f>'Sampling Data'!O137</f>
        <v>0</v>
      </c>
      <c r="Q137" s="114">
        <f>'Sampling Data'!P137</f>
        <v>39</v>
      </c>
      <c r="R137" s="114">
        <f>'Sampling Data'!AJ137</f>
        <v>0</v>
      </c>
      <c r="S137" s="116"/>
      <c r="T137" s="116"/>
      <c r="U137" s="117"/>
      <c r="V137" s="117"/>
      <c r="W137" s="116"/>
      <c r="X137" s="116"/>
      <c r="Y137" s="116"/>
      <c r="Z137" s="116"/>
      <c r="AA137" s="15"/>
      <c r="AB137" s="15"/>
      <c r="AC137" s="15"/>
      <c r="AD137" s="15"/>
      <c r="AE137" s="118" t="str">
        <f>IF(NOT(ISBLANK(Audit[[#This Row],[Audit Winning Candidate]])), Audit[[#This Row],[Audit Winning Candidate]]-Audit[[#This Row],[Winning Candidate]], "")</f>
        <v/>
      </c>
      <c r="AF137" s="114" t="str">
        <f>IF(NOT(ISBLANK(Audit[[#This Row],[Audit Losing Candidate]])), Audit[[#This Row],[Audit Losing Candidate]]-Audit[[#This Row],[Losing Candidate]], "")</f>
        <v/>
      </c>
      <c r="AG137" s="114" t="str">
        <f>IF(NOT(ISBLANK(Audit[[#This Row],[Audit Candidate 3]])), Audit[[#This Row],[Audit Candidate 3]]-Audit[[#This Row],[Candidate 3]], "")</f>
        <v/>
      </c>
      <c r="AH137" s="114" t="str">
        <f>IF(NOT(ISBLANK(Audit[[#This Row],[Audit Candidate 4]])),Audit[[#This Row],[Audit Candidate 4]]-Audit[[#This Row],[Candidate 4]], "")</f>
        <v/>
      </c>
      <c r="AI137" s="114" t="str">
        <f>IF(NOT(ISBLANK(Audit[[#This Row],[Audit Candidate 5]])), Audit[[#This Row],[Audit Candidate 5]]-Audit[[#This Row],[Candidate 5]], "")</f>
        <v/>
      </c>
      <c r="AJ137" s="114" t="str">
        <f>IF(NOT(ISBLANK(Audit[[#This Row],[Audit Candidate 6]])), Audit[[#This Row],[Audit Candidate 6]]-Audit[[#This Row],[Candidate 6]], "")</f>
        <v/>
      </c>
      <c r="AK137" s="114" t="str">
        <f>IF(NOT(ISBLANK(Audit[[#This Row],[Audit Candidate 7]])), Audit[[#This Row],[Audit Candidate 7]]-Audit[[#This Row],[Candidate 7]], "")</f>
        <v/>
      </c>
      <c r="AL137" s="114" t="str">
        <f>IF(NOT(ISBLANK(Audit[[#This Row],[Audit Candidate 8]])), Audit[[#This Row],[Audit Candidate 8]]-Audit[[#This Row],[Candidate 8]], "")</f>
        <v/>
      </c>
      <c r="AM137" s="114" t="str">
        <f>IF(NOT(ISBLANK(Audit[[#This Row],[Audit Candidate 9]])), Audit[[#This Row],[Audit Candidate 9]]-Audit[[#This Row],[Candidate 9]], "")</f>
        <v/>
      </c>
      <c r="AN137" s="114" t="str">
        <f>IF(NOT(ISBLANK(Audit[[#This Row],[Audit Candidate 10]])), Audit[[#This Row],[Audit Candidate 10]]-Audit[[#This Row],[Candidate 10]], "")</f>
        <v/>
      </c>
      <c r="AO137" s="114" t="str">
        <f>IF(NOT(ISBLANK(Audit[[#This Row],[Audit Candidate 11]])), Audit[[#This Row],[Audit Candidate 11]]-Audit[[#This Row],[Candidate 11]], "")</f>
        <v/>
      </c>
      <c r="AP137" s="114" t="str">
        <f>IF(NOT(ISBLANK(Audit[[#This Row],[Audit Candidate 12]])), Audit[[#This Row],[Audit Candidate 12]]-Audit[[#This Row],[Candidate 12]], "")</f>
        <v/>
      </c>
      <c r="AQ137" s="114">
        <f>SUMIF(Audit[[#This Row],[Difference Winner]:[Difference Candidate 12]], "&gt;0")</f>
        <v>0</v>
      </c>
      <c r="AR137" s="114">
        <f>SUM(Audit[[#This Row],[Difference Winner]:[Difference Candidate 12]])</f>
        <v>0</v>
      </c>
      <c r="AS137" s="114">
        <f>IF(Audit[[#This Row],[Times p Drawn - With Replacement]]&gt;0, IF(Audit[[#This Row],[Canceled Differences]]&lt;0, Audit[[#This Row],[Max Differences]]+ABS(Audit[[#This Row],[Canceled Differences]]), Audit[[#This Row],[Max Differences]]), 0)</f>
        <v>0</v>
      </c>
      <c r="AT137" s="114">
        <f>'Sampling Data'!AB137</f>
        <v>4.6141204727893305E-3</v>
      </c>
      <c r="AU137" s="114">
        <f>IF(
      SUM(Audit[[#This Row],[Audit Losing Candidate]:[Audit Candidate 12]])
      &lt;&gt;0,
      (Audit[[#This Row],[Winning Candidate]]-Audit[[#This Row],[Losing Candidate]]-(Audit[[#This Row],[Audit Winning Candidate]]-Audit[[#This Row],[Audit Losing Candidate]]))/(Audit[[#Totals],[Winning Candidate]]-Audit[[#Totals],[Losing Candidate]]),
      0
)</f>
        <v>0</v>
      </c>
      <c r="AV1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7" s="114">
        <f>IF(Audit[[#This Row],[Max Relative Error (ep)]] = 0, 0, Audit[[#This Row],[Max Relative Error (ep)]]/Audit[[#This Row],[Error Bound (up) - Max. possible relative overstatement]])</f>
        <v>0</v>
      </c>
      <c r="BH1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7" s="114">
        <f t="shared" si="2"/>
        <v>1</v>
      </c>
      <c r="BJ137" s="114">
        <f>PRODUCT($BI$5:BI137)</f>
        <v>0.20973752198051165</v>
      </c>
      <c r="BK137" s="112">
        <f>1 - Audit[[#This Row],[K-M P Value]]</f>
        <v>0.79026247801948835</v>
      </c>
      <c r="BL137" s="114" t="str">
        <f>IF(Audit[[#This Row],[K-M P Value]]&gt;1-'General Info'!$B$12,"Continue", "Stop")</f>
        <v>Continue</v>
      </c>
      <c r="BM137" s="113" t="b">
        <f>IF(Audit[[#This Row],[Status - Continue or stop audit]] = "Continue", TRUE, IF(BL136 = "Continue", TRUE, FALSE))</f>
        <v>1</v>
      </c>
      <c r="BN137" s="113"/>
    </row>
    <row r="138" spans="1:66" ht="15" hidden="1" customHeight="1" x14ac:dyDescent="0.35">
      <c r="A138" s="114" t="str">
        <f>'Sampling Data'!AI138</f>
        <v/>
      </c>
      <c r="B138" s="114" t="str">
        <f>'Sampling Data'!A138</f>
        <v>2302 CIN 23-B   (AV)</v>
      </c>
      <c r="C138" s="114">
        <f>'Sampling Data'!B138</f>
        <v>5</v>
      </c>
      <c r="D138" s="114">
        <f>'Sampling Data'!C138</f>
        <v>0</v>
      </c>
      <c r="E138" s="115">
        <f>'Sampling Data'!D138</f>
        <v>0</v>
      </c>
      <c r="F138" s="115">
        <f>'Sampling Data'!E138</f>
        <v>0</v>
      </c>
      <c r="G138" s="115">
        <f>'Sampling Data'!F138</f>
        <v>0</v>
      </c>
      <c r="H138" s="115">
        <f>'Sampling Data'!G138</f>
        <v>0</v>
      </c>
      <c r="I138" s="115">
        <f>'Sampling Data'!H138</f>
        <v>0</v>
      </c>
      <c r="J138" s="115">
        <f>'Sampling Data'!I138</f>
        <v>0</v>
      </c>
      <c r="K138" s="115">
        <f>'Sampling Data'!J138</f>
        <v>0</v>
      </c>
      <c r="L138" s="115">
        <f>'Sampling Data'!K138</f>
        <v>0</v>
      </c>
      <c r="M138" s="115">
        <f>'Sampling Data'!L138</f>
        <v>0</v>
      </c>
      <c r="N138" s="115">
        <f>'Sampling Data'!M138</f>
        <v>0</v>
      </c>
      <c r="O138" s="114">
        <f>'Sampling Data'!N138</f>
        <v>0</v>
      </c>
      <c r="P138" s="114">
        <f>'Sampling Data'!O138</f>
        <v>0</v>
      </c>
      <c r="Q138" s="114">
        <f>'Sampling Data'!P138</f>
        <v>5</v>
      </c>
      <c r="R138" s="114">
        <f>'Sampling Data'!AJ138</f>
        <v>0</v>
      </c>
      <c r="S138" s="116"/>
      <c r="T138" s="116"/>
      <c r="U138" s="117"/>
      <c r="V138" s="117"/>
      <c r="W138" s="116"/>
      <c r="X138" s="116"/>
      <c r="Y138" s="116"/>
      <c r="Z138" s="116"/>
      <c r="AA138" s="15"/>
      <c r="AB138" s="15"/>
      <c r="AC138" s="15"/>
      <c r="AD138" s="15"/>
      <c r="AE138" s="118" t="str">
        <f>IF(NOT(ISBLANK(Audit[[#This Row],[Audit Winning Candidate]])), Audit[[#This Row],[Audit Winning Candidate]]-Audit[[#This Row],[Winning Candidate]], "")</f>
        <v/>
      </c>
      <c r="AF138" s="114" t="str">
        <f>IF(NOT(ISBLANK(Audit[[#This Row],[Audit Losing Candidate]])), Audit[[#This Row],[Audit Losing Candidate]]-Audit[[#This Row],[Losing Candidate]], "")</f>
        <v/>
      </c>
      <c r="AG138" s="114" t="str">
        <f>IF(NOT(ISBLANK(Audit[[#This Row],[Audit Candidate 3]])), Audit[[#This Row],[Audit Candidate 3]]-Audit[[#This Row],[Candidate 3]], "")</f>
        <v/>
      </c>
      <c r="AH138" s="114" t="str">
        <f>IF(NOT(ISBLANK(Audit[[#This Row],[Audit Candidate 4]])),Audit[[#This Row],[Audit Candidate 4]]-Audit[[#This Row],[Candidate 4]], "")</f>
        <v/>
      </c>
      <c r="AI138" s="114" t="str">
        <f>IF(NOT(ISBLANK(Audit[[#This Row],[Audit Candidate 5]])), Audit[[#This Row],[Audit Candidate 5]]-Audit[[#This Row],[Candidate 5]], "")</f>
        <v/>
      </c>
      <c r="AJ138" s="114" t="str">
        <f>IF(NOT(ISBLANK(Audit[[#This Row],[Audit Candidate 6]])), Audit[[#This Row],[Audit Candidate 6]]-Audit[[#This Row],[Candidate 6]], "")</f>
        <v/>
      </c>
      <c r="AK138" s="114" t="str">
        <f>IF(NOT(ISBLANK(Audit[[#This Row],[Audit Candidate 7]])), Audit[[#This Row],[Audit Candidate 7]]-Audit[[#This Row],[Candidate 7]], "")</f>
        <v/>
      </c>
      <c r="AL138" s="114" t="str">
        <f>IF(NOT(ISBLANK(Audit[[#This Row],[Audit Candidate 8]])), Audit[[#This Row],[Audit Candidate 8]]-Audit[[#This Row],[Candidate 8]], "")</f>
        <v/>
      </c>
      <c r="AM138" s="114" t="str">
        <f>IF(NOT(ISBLANK(Audit[[#This Row],[Audit Candidate 9]])), Audit[[#This Row],[Audit Candidate 9]]-Audit[[#This Row],[Candidate 9]], "")</f>
        <v/>
      </c>
      <c r="AN138" s="114" t="str">
        <f>IF(NOT(ISBLANK(Audit[[#This Row],[Audit Candidate 10]])), Audit[[#This Row],[Audit Candidate 10]]-Audit[[#This Row],[Candidate 10]], "")</f>
        <v/>
      </c>
      <c r="AO138" s="114" t="str">
        <f>IF(NOT(ISBLANK(Audit[[#This Row],[Audit Candidate 11]])), Audit[[#This Row],[Audit Candidate 11]]-Audit[[#This Row],[Candidate 11]], "")</f>
        <v/>
      </c>
      <c r="AP138" s="114" t="str">
        <f>IF(NOT(ISBLANK(Audit[[#This Row],[Audit Candidate 12]])), Audit[[#This Row],[Audit Candidate 12]]-Audit[[#This Row],[Candidate 12]], "")</f>
        <v/>
      </c>
      <c r="AQ138" s="114">
        <f>SUMIF(Audit[[#This Row],[Difference Winner]:[Difference Candidate 12]], "&gt;0")</f>
        <v>0</v>
      </c>
      <c r="AR138" s="114">
        <f>SUM(Audit[[#This Row],[Difference Winner]:[Difference Candidate 12]])</f>
        <v>0</v>
      </c>
      <c r="AS138" s="114">
        <f>IF(Audit[[#This Row],[Times p Drawn - With Replacement]]&gt;0, IF(Audit[[#This Row],[Canceled Differences]]&lt;0, Audit[[#This Row],[Max Differences]]+ABS(Audit[[#This Row],[Canceled Differences]]), Audit[[#This Row],[Max Differences]]), 0)</f>
        <v>0</v>
      </c>
      <c r="AT138" s="114">
        <f>'Sampling Data'!AB138</f>
        <v>6.3207129764237407E-4</v>
      </c>
      <c r="AU138" s="114">
        <f>IF(
      SUM(Audit[[#This Row],[Audit Losing Candidate]:[Audit Candidate 12]])
      &lt;&gt;0,
      (Audit[[#This Row],[Winning Candidate]]-Audit[[#This Row],[Losing Candidate]]-(Audit[[#This Row],[Audit Winning Candidate]]-Audit[[#This Row],[Audit Losing Candidate]]))/(Audit[[#Totals],[Winning Candidate]]-Audit[[#Totals],[Losing Candidate]]),
      0
)</f>
        <v>0</v>
      </c>
      <c r="AV1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8" s="114">
        <f>IF(Audit[[#This Row],[Max Relative Error (ep)]] = 0, 0, Audit[[#This Row],[Max Relative Error (ep)]]/Audit[[#This Row],[Error Bound (up) - Max. possible relative overstatement]])</f>
        <v>0</v>
      </c>
      <c r="BH1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8" s="114">
        <f t="shared" si="2"/>
        <v>1</v>
      </c>
      <c r="BJ138" s="114">
        <f>PRODUCT($BI$5:BI138)</f>
        <v>0.20973752198051165</v>
      </c>
      <c r="BK138" s="112">
        <f>1 - Audit[[#This Row],[K-M P Value]]</f>
        <v>0.79026247801948835</v>
      </c>
      <c r="BL138" s="114" t="str">
        <f>IF(Audit[[#This Row],[K-M P Value]]&gt;1-'General Info'!$B$12,"Continue", "Stop")</f>
        <v>Continue</v>
      </c>
      <c r="BM138" s="113" t="b">
        <f>IF(Audit[[#This Row],[Status - Continue or stop audit]] = "Continue", TRUE, IF(BL137 = "Continue", TRUE, FALSE))</f>
        <v>1</v>
      </c>
      <c r="BN138" s="113"/>
    </row>
    <row r="139" spans="1:66" ht="15" hidden="1" customHeight="1" x14ac:dyDescent="0.35">
      <c r="A139" s="114" t="str">
        <f>'Sampling Data'!AI139</f>
        <v/>
      </c>
      <c r="B139" s="114" t="str">
        <f>'Sampling Data'!A139</f>
        <v>2303 CIN 23-C   (AV)</v>
      </c>
      <c r="C139" s="114">
        <f>'Sampling Data'!B139</f>
        <v>23</v>
      </c>
      <c r="D139" s="114">
        <f>'Sampling Data'!C139</f>
        <v>5</v>
      </c>
      <c r="E139" s="115">
        <f>'Sampling Data'!D139</f>
        <v>1</v>
      </c>
      <c r="F139" s="115">
        <f>'Sampling Data'!E139</f>
        <v>0</v>
      </c>
      <c r="G139" s="115">
        <f>'Sampling Data'!F139</f>
        <v>0</v>
      </c>
      <c r="H139" s="115">
        <f>'Sampling Data'!G139</f>
        <v>0</v>
      </c>
      <c r="I139" s="115">
        <f>'Sampling Data'!H139</f>
        <v>0</v>
      </c>
      <c r="J139" s="115">
        <f>'Sampling Data'!I139</f>
        <v>0</v>
      </c>
      <c r="K139" s="115">
        <f>'Sampling Data'!J139</f>
        <v>0</v>
      </c>
      <c r="L139" s="115">
        <f>'Sampling Data'!K139</f>
        <v>0</v>
      </c>
      <c r="M139" s="115">
        <f>'Sampling Data'!L139</f>
        <v>0</v>
      </c>
      <c r="N139" s="115">
        <f>'Sampling Data'!M139</f>
        <v>0</v>
      </c>
      <c r="O139" s="114">
        <f>'Sampling Data'!N139</f>
        <v>0</v>
      </c>
      <c r="P139" s="114">
        <f>'Sampling Data'!O139</f>
        <v>0</v>
      </c>
      <c r="Q139" s="114">
        <f>'Sampling Data'!P139</f>
        <v>29</v>
      </c>
      <c r="R139" s="114">
        <f>'Sampling Data'!AJ139</f>
        <v>0</v>
      </c>
      <c r="S139" s="116"/>
      <c r="T139" s="116"/>
      <c r="U139" s="117"/>
      <c r="V139" s="117"/>
      <c r="W139" s="116"/>
      <c r="X139" s="116"/>
      <c r="Y139" s="116"/>
      <c r="Z139" s="116"/>
      <c r="AA139" s="15"/>
      <c r="AB139" s="15"/>
      <c r="AC139" s="15"/>
      <c r="AD139" s="15"/>
      <c r="AE139" s="118" t="str">
        <f>IF(NOT(ISBLANK(Audit[[#This Row],[Audit Winning Candidate]])), Audit[[#This Row],[Audit Winning Candidate]]-Audit[[#This Row],[Winning Candidate]], "")</f>
        <v/>
      </c>
      <c r="AF139" s="114" t="str">
        <f>IF(NOT(ISBLANK(Audit[[#This Row],[Audit Losing Candidate]])), Audit[[#This Row],[Audit Losing Candidate]]-Audit[[#This Row],[Losing Candidate]], "")</f>
        <v/>
      </c>
      <c r="AG139" s="114" t="str">
        <f>IF(NOT(ISBLANK(Audit[[#This Row],[Audit Candidate 3]])), Audit[[#This Row],[Audit Candidate 3]]-Audit[[#This Row],[Candidate 3]], "")</f>
        <v/>
      </c>
      <c r="AH139" s="114" t="str">
        <f>IF(NOT(ISBLANK(Audit[[#This Row],[Audit Candidate 4]])),Audit[[#This Row],[Audit Candidate 4]]-Audit[[#This Row],[Candidate 4]], "")</f>
        <v/>
      </c>
      <c r="AI139" s="114" t="str">
        <f>IF(NOT(ISBLANK(Audit[[#This Row],[Audit Candidate 5]])), Audit[[#This Row],[Audit Candidate 5]]-Audit[[#This Row],[Candidate 5]], "")</f>
        <v/>
      </c>
      <c r="AJ139" s="114" t="str">
        <f>IF(NOT(ISBLANK(Audit[[#This Row],[Audit Candidate 6]])), Audit[[#This Row],[Audit Candidate 6]]-Audit[[#This Row],[Candidate 6]], "")</f>
        <v/>
      </c>
      <c r="AK139" s="114" t="str">
        <f>IF(NOT(ISBLANK(Audit[[#This Row],[Audit Candidate 7]])), Audit[[#This Row],[Audit Candidate 7]]-Audit[[#This Row],[Candidate 7]], "")</f>
        <v/>
      </c>
      <c r="AL139" s="114" t="str">
        <f>IF(NOT(ISBLANK(Audit[[#This Row],[Audit Candidate 8]])), Audit[[#This Row],[Audit Candidate 8]]-Audit[[#This Row],[Candidate 8]], "")</f>
        <v/>
      </c>
      <c r="AM139" s="114" t="str">
        <f>IF(NOT(ISBLANK(Audit[[#This Row],[Audit Candidate 9]])), Audit[[#This Row],[Audit Candidate 9]]-Audit[[#This Row],[Candidate 9]], "")</f>
        <v/>
      </c>
      <c r="AN139" s="114" t="str">
        <f>IF(NOT(ISBLANK(Audit[[#This Row],[Audit Candidate 10]])), Audit[[#This Row],[Audit Candidate 10]]-Audit[[#This Row],[Candidate 10]], "")</f>
        <v/>
      </c>
      <c r="AO139" s="114" t="str">
        <f>IF(NOT(ISBLANK(Audit[[#This Row],[Audit Candidate 11]])), Audit[[#This Row],[Audit Candidate 11]]-Audit[[#This Row],[Candidate 11]], "")</f>
        <v/>
      </c>
      <c r="AP139" s="114" t="str">
        <f>IF(NOT(ISBLANK(Audit[[#This Row],[Audit Candidate 12]])), Audit[[#This Row],[Audit Candidate 12]]-Audit[[#This Row],[Candidate 12]], "")</f>
        <v/>
      </c>
      <c r="AQ139" s="114">
        <f>SUMIF(Audit[[#This Row],[Difference Winner]:[Difference Candidate 12]], "&gt;0")</f>
        <v>0</v>
      </c>
      <c r="AR139" s="114">
        <f>SUM(Audit[[#This Row],[Difference Winner]:[Difference Candidate 12]])</f>
        <v>0</v>
      </c>
      <c r="AS139" s="114">
        <f>IF(Audit[[#This Row],[Times p Drawn - With Replacement]]&gt;0, IF(Audit[[#This Row],[Canceled Differences]]&lt;0, Audit[[#This Row],[Max Differences]]+ABS(Audit[[#This Row],[Canceled Differences]]), Audit[[#This Row],[Max Differences]]), 0)</f>
        <v>0</v>
      </c>
      <c r="AT139" s="114">
        <f>'Sampling Data'!AB139</f>
        <v>2.970735098919158E-3</v>
      </c>
      <c r="AU139" s="114">
        <f>IF(
      SUM(Audit[[#This Row],[Audit Losing Candidate]:[Audit Candidate 12]])
      &lt;&gt;0,
      (Audit[[#This Row],[Winning Candidate]]-Audit[[#This Row],[Losing Candidate]]-(Audit[[#This Row],[Audit Winning Candidate]]-Audit[[#This Row],[Audit Losing Candidate]]))/(Audit[[#Totals],[Winning Candidate]]-Audit[[#Totals],[Losing Candidate]]),
      0
)</f>
        <v>0</v>
      </c>
      <c r="AV1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9" s="114">
        <f>IF(Audit[[#This Row],[Max Relative Error (ep)]] = 0, 0, Audit[[#This Row],[Max Relative Error (ep)]]/Audit[[#This Row],[Error Bound (up) - Max. possible relative overstatement]])</f>
        <v>0</v>
      </c>
      <c r="BH1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39" s="114">
        <f t="shared" si="2"/>
        <v>1</v>
      </c>
      <c r="BJ139" s="114">
        <f>PRODUCT($BI$5:BI139)</f>
        <v>0.20973752198051165</v>
      </c>
      <c r="BK139" s="112">
        <f>1 - Audit[[#This Row],[K-M P Value]]</f>
        <v>0.79026247801948835</v>
      </c>
      <c r="BL139" s="114" t="str">
        <f>IF(Audit[[#This Row],[K-M P Value]]&gt;1-'General Info'!$B$12,"Continue", "Stop")</f>
        <v>Continue</v>
      </c>
      <c r="BM139" s="113" t="b">
        <f>IF(Audit[[#This Row],[Status - Continue or stop audit]] = "Continue", TRUE, IF(BL138 = "Continue", TRUE, FALSE))</f>
        <v>1</v>
      </c>
      <c r="BN139" s="113"/>
    </row>
    <row r="140" spans="1:66" ht="15" hidden="1" customHeight="1" x14ac:dyDescent="0.35">
      <c r="A140" s="114" t="str">
        <f>'Sampling Data'!AI140</f>
        <v/>
      </c>
      <c r="B140" s="114" t="str">
        <f>'Sampling Data'!A140</f>
        <v>2304 CIN 23-D   (AV)</v>
      </c>
      <c r="C140" s="114">
        <f>'Sampling Data'!B140</f>
        <v>24</v>
      </c>
      <c r="D140" s="114">
        <f>'Sampling Data'!C140</f>
        <v>0</v>
      </c>
      <c r="E140" s="115">
        <f>'Sampling Data'!D140</f>
        <v>0</v>
      </c>
      <c r="F140" s="115">
        <f>'Sampling Data'!E140</f>
        <v>0</v>
      </c>
      <c r="G140" s="115">
        <f>'Sampling Data'!F140</f>
        <v>0</v>
      </c>
      <c r="H140" s="115">
        <f>'Sampling Data'!G140</f>
        <v>0</v>
      </c>
      <c r="I140" s="115">
        <f>'Sampling Data'!H140</f>
        <v>0</v>
      </c>
      <c r="J140" s="115">
        <f>'Sampling Data'!I140</f>
        <v>0</v>
      </c>
      <c r="K140" s="115">
        <f>'Sampling Data'!J140</f>
        <v>0</v>
      </c>
      <c r="L140" s="115">
        <f>'Sampling Data'!K140</f>
        <v>0</v>
      </c>
      <c r="M140" s="115">
        <f>'Sampling Data'!L140</f>
        <v>0</v>
      </c>
      <c r="N140" s="115">
        <f>'Sampling Data'!M140</f>
        <v>0</v>
      </c>
      <c r="O140" s="114">
        <f>'Sampling Data'!N140</f>
        <v>0</v>
      </c>
      <c r="P140" s="114">
        <f>'Sampling Data'!O140</f>
        <v>0</v>
      </c>
      <c r="Q140" s="114">
        <f>'Sampling Data'!P140</f>
        <v>24</v>
      </c>
      <c r="R140" s="114">
        <f>'Sampling Data'!AJ140</f>
        <v>0</v>
      </c>
      <c r="S140" s="116"/>
      <c r="T140" s="116"/>
      <c r="U140" s="117"/>
      <c r="V140" s="117"/>
      <c r="W140" s="116"/>
      <c r="X140" s="116"/>
      <c r="Y140" s="116"/>
      <c r="Z140" s="116"/>
      <c r="AA140" s="15"/>
      <c r="AB140" s="15"/>
      <c r="AC140" s="15"/>
      <c r="AD140" s="15"/>
      <c r="AE140" s="118" t="str">
        <f>IF(NOT(ISBLANK(Audit[[#This Row],[Audit Winning Candidate]])), Audit[[#This Row],[Audit Winning Candidate]]-Audit[[#This Row],[Winning Candidate]], "")</f>
        <v/>
      </c>
      <c r="AF140" s="114" t="str">
        <f>IF(NOT(ISBLANK(Audit[[#This Row],[Audit Losing Candidate]])), Audit[[#This Row],[Audit Losing Candidate]]-Audit[[#This Row],[Losing Candidate]], "")</f>
        <v/>
      </c>
      <c r="AG140" s="114" t="str">
        <f>IF(NOT(ISBLANK(Audit[[#This Row],[Audit Candidate 3]])), Audit[[#This Row],[Audit Candidate 3]]-Audit[[#This Row],[Candidate 3]], "")</f>
        <v/>
      </c>
      <c r="AH140" s="114" t="str">
        <f>IF(NOT(ISBLANK(Audit[[#This Row],[Audit Candidate 4]])),Audit[[#This Row],[Audit Candidate 4]]-Audit[[#This Row],[Candidate 4]], "")</f>
        <v/>
      </c>
      <c r="AI140" s="114" t="str">
        <f>IF(NOT(ISBLANK(Audit[[#This Row],[Audit Candidate 5]])), Audit[[#This Row],[Audit Candidate 5]]-Audit[[#This Row],[Candidate 5]], "")</f>
        <v/>
      </c>
      <c r="AJ140" s="114" t="str">
        <f>IF(NOT(ISBLANK(Audit[[#This Row],[Audit Candidate 6]])), Audit[[#This Row],[Audit Candidate 6]]-Audit[[#This Row],[Candidate 6]], "")</f>
        <v/>
      </c>
      <c r="AK140" s="114" t="str">
        <f>IF(NOT(ISBLANK(Audit[[#This Row],[Audit Candidate 7]])), Audit[[#This Row],[Audit Candidate 7]]-Audit[[#This Row],[Candidate 7]], "")</f>
        <v/>
      </c>
      <c r="AL140" s="114" t="str">
        <f>IF(NOT(ISBLANK(Audit[[#This Row],[Audit Candidate 8]])), Audit[[#This Row],[Audit Candidate 8]]-Audit[[#This Row],[Candidate 8]], "")</f>
        <v/>
      </c>
      <c r="AM140" s="114" t="str">
        <f>IF(NOT(ISBLANK(Audit[[#This Row],[Audit Candidate 9]])), Audit[[#This Row],[Audit Candidate 9]]-Audit[[#This Row],[Candidate 9]], "")</f>
        <v/>
      </c>
      <c r="AN140" s="114" t="str">
        <f>IF(NOT(ISBLANK(Audit[[#This Row],[Audit Candidate 10]])), Audit[[#This Row],[Audit Candidate 10]]-Audit[[#This Row],[Candidate 10]], "")</f>
        <v/>
      </c>
      <c r="AO140" s="114" t="str">
        <f>IF(NOT(ISBLANK(Audit[[#This Row],[Audit Candidate 11]])), Audit[[#This Row],[Audit Candidate 11]]-Audit[[#This Row],[Candidate 11]], "")</f>
        <v/>
      </c>
      <c r="AP140" s="114" t="str">
        <f>IF(NOT(ISBLANK(Audit[[#This Row],[Audit Candidate 12]])), Audit[[#This Row],[Audit Candidate 12]]-Audit[[#This Row],[Candidate 12]], "")</f>
        <v/>
      </c>
      <c r="AQ140" s="114">
        <f>SUMIF(Audit[[#This Row],[Difference Winner]:[Difference Candidate 12]], "&gt;0")</f>
        <v>0</v>
      </c>
      <c r="AR140" s="114">
        <f>SUM(Audit[[#This Row],[Difference Winner]:[Difference Candidate 12]])</f>
        <v>0</v>
      </c>
      <c r="AS140" s="114">
        <f>IF(Audit[[#This Row],[Times p Drawn - With Replacement]]&gt;0, IF(Audit[[#This Row],[Canceled Differences]]&lt;0, Audit[[#This Row],[Max Differences]]+ABS(Audit[[#This Row],[Canceled Differences]]), Audit[[#This Row],[Max Differences]]), 0)</f>
        <v>0</v>
      </c>
      <c r="AT140" s="114">
        <f>'Sampling Data'!AB140</f>
        <v>3.0339422286833955E-3</v>
      </c>
      <c r="AU140" s="114">
        <f>IF(
      SUM(Audit[[#This Row],[Audit Losing Candidate]:[Audit Candidate 12]])
      &lt;&gt;0,
      (Audit[[#This Row],[Winning Candidate]]-Audit[[#This Row],[Losing Candidate]]-(Audit[[#This Row],[Audit Winning Candidate]]-Audit[[#This Row],[Audit Losing Candidate]]))/(Audit[[#Totals],[Winning Candidate]]-Audit[[#Totals],[Losing Candidate]]),
      0
)</f>
        <v>0</v>
      </c>
      <c r="AV1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0" s="114">
        <f>IF(Audit[[#This Row],[Max Relative Error (ep)]] = 0, 0, Audit[[#This Row],[Max Relative Error (ep)]]/Audit[[#This Row],[Error Bound (up) - Max. possible relative overstatement]])</f>
        <v>0</v>
      </c>
      <c r="BH1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0" s="114">
        <f t="shared" si="2"/>
        <v>1</v>
      </c>
      <c r="BJ140" s="114">
        <f>PRODUCT($BI$5:BI140)</f>
        <v>0.20973752198051165</v>
      </c>
      <c r="BK140" s="112">
        <f>1 - Audit[[#This Row],[K-M P Value]]</f>
        <v>0.79026247801948835</v>
      </c>
      <c r="BL140" s="114" t="str">
        <f>IF(Audit[[#This Row],[K-M P Value]]&gt;1-'General Info'!$B$12,"Continue", "Stop")</f>
        <v>Continue</v>
      </c>
      <c r="BM140" s="113" t="b">
        <f>IF(Audit[[#This Row],[Status - Continue or stop audit]] = "Continue", TRUE, IF(BL139 = "Continue", TRUE, FALSE))</f>
        <v>1</v>
      </c>
      <c r="BN140" s="113"/>
    </row>
    <row r="141" spans="1:66" ht="15" hidden="1" customHeight="1" x14ac:dyDescent="0.35">
      <c r="A141" s="114" t="str">
        <f>'Sampling Data'!AI141</f>
        <v/>
      </c>
      <c r="B141" s="114" t="str">
        <f>'Sampling Data'!A141</f>
        <v>2305 CIN 23-E   (AV)</v>
      </c>
      <c r="C141" s="114">
        <f>'Sampling Data'!B141</f>
        <v>13</v>
      </c>
      <c r="D141" s="114">
        <f>'Sampling Data'!C141</f>
        <v>0</v>
      </c>
      <c r="E141" s="115">
        <f>'Sampling Data'!D141</f>
        <v>0</v>
      </c>
      <c r="F141" s="115">
        <f>'Sampling Data'!E141</f>
        <v>0</v>
      </c>
      <c r="G141" s="115">
        <f>'Sampling Data'!F141</f>
        <v>0</v>
      </c>
      <c r="H141" s="115">
        <f>'Sampling Data'!G141</f>
        <v>0</v>
      </c>
      <c r="I141" s="115">
        <f>'Sampling Data'!H141</f>
        <v>0</v>
      </c>
      <c r="J141" s="115">
        <f>'Sampling Data'!I141</f>
        <v>0</v>
      </c>
      <c r="K141" s="115">
        <f>'Sampling Data'!J141</f>
        <v>0</v>
      </c>
      <c r="L141" s="115">
        <f>'Sampling Data'!K141</f>
        <v>0</v>
      </c>
      <c r="M141" s="115">
        <f>'Sampling Data'!L141</f>
        <v>0</v>
      </c>
      <c r="N141" s="115">
        <f>'Sampling Data'!M141</f>
        <v>0</v>
      </c>
      <c r="O141" s="114">
        <f>'Sampling Data'!N141</f>
        <v>0</v>
      </c>
      <c r="P141" s="114">
        <f>'Sampling Data'!O141</f>
        <v>0</v>
      </c>
      <c r="Q141" s="114">
        <f>'Sampling Data'!P141</f>
        <v>13</v>
      </c>
      <c r="R141" s="114">
        <f>'Sampling Data'!AJ141</f>
        <v>0</v>
      </c>
      <c r="S141" s="116"/>
      <c r="T141" s="116"/>
      <c r="U141" s="117"/>
      <c r="V141" s="117"/>
      <c r="W141" s="116"/>
      <c r="X141" s="116"/>
      <c r="Y141" s="116"/>
      <c r="Z141" s="116"/>
      <c r="AA141" s="15"/>
      <c r="AB141" s="15"/>
      <c r="AC141" s="15"/>
      <c r="AD141" s="15"/>
      <c r="AE141" s="118" t="str">
        <f>IF(NOT(ISBLANK(Audit[[#This Row],[Audit Winning Candidate]])), Audit[[#This Row],[Audit Winning Candidate]]-Audit[[#This Row],[Winning Candidate]], "")</f>
        <v/>
      </c>
      <c r="AF141" s="114" t="str">
        <f>IF(NOT(ISBLANK(Audit[[#This Row],[Audit Losing Candidate]])), Audit[[#This Row],[Audit Losing Candidate]]-Audit[[#This Row],[Losing Candidate]], "")</f>
        <v/>
      </c>
      <c r="AG141" s="114" t="str">
        <f>IF(NOT(ISBLANK(Audit[[#This Row],[Audit Candidate 3]])), Audit[[#This Row],[Audit Candidate 3]]-Audit[[#This Row],[Candidate 3]], "")</f>
        <v/>
      </c>
      <c r="AH141" s="114" t="str">
        <f>IF(NOT(ISBLANK(Audit[[#This Row],[Audit Candidate 4]])),Audit[[#This Row],[Audit Candidate 4]]-Audit[[#This Row],[Candidate 4]], "")</f>
        <v/>
      </c>
      <c r="AI141" s="114" t="str">
        <f>IF(NOT(ISBLANK(Audit[[#This Row],[Audit Candidate 5]])), Audit[[#This Row],[Audit Candidate 5]]-Audit[[#This Row],[Candidate 5]], "")</f>
        <v/>
      </c>
      <c r="AJ141" s="114" t="str">
        <f>IF(NOT(ISBLANK(Audit[[#This Row],[Audit Candidate 6]])), Audit[[#This Row],[Audit Candidate 6]]-Audit[[#This Row],[Candidate 6]], "")</f>
        <v/>
      </c>
      <c r="AK141" s="114" t="str">
        <f>IF(NOT(ISBLANK(Audit[[#This Row],[Audit Candidate 7]])), Audit[[#This Row],[Audit Candidate 7]]-Audit[[#This Row],[Candidate 7]], "")</f>
        <v/>
      </c>
      <c r="AL141" s="114" t="str">
        <f>IF(NOT(ISBLANK(Audit[[#This Row],[Audit Candidate 8]])), Audit[[#This Row],[Audit Candidate 8]]-Audit[[#This Row],[Candidate 8]], "")</f>
        <v/>
      </c>
      <c r="AM141" s="114" t="str">
        <f>IF(NOT(ISBLANK(Audit[[#This Row],[Audit Candidate 9]])), Audit[[#This Row],[Audit Candidate 9]]-Audit[[#This Row],[Candidate 9]], "")</f>
        <v/>
      </c>
      <c r="AN141" s="114" t="str">
        <f>IF(NOT(ISBLANK(Audit[[#This Row],[Audit Candidate 10]])), Audit[[#This Row],[Audit Candidate 10]]-Audit[[#This Row],[Candidate 10]], "")</f>
        <v/>
      </c>
      <c r="AO141" s="114" t="str">
        <f>IF(NOT(ISBLANK(Audit[[#This Row],[Audit Candidate 11]])), Audit[[#This Row],[Audit Candidate 11]]-Audit[[#This Row],[Candidate 11]], "")</f>
        <v/>
      </c>
      <c r="AP141" s="114" t="str">
        <f>IF(NOT(ISBLANK(Audit[[#This Row],[Audit Candidate 12]])), Audit[[#This Row],[Audit Candidate 12]]-Audit[[#This Row],[Candidate 12]], "")</f>
        <v/>
      </c>
      <c r="AQ141" s="114">
        <f>SUMIF(Audit[[#This Row],[Difference Winner]:[Difference Candidate 12]], "&gt;0")</f>
        <v>0</v>
      </c>
      <c r="AR141" s="114">
        <f>SUM(Audit[[#This Row],[Difference Winner]:[Difference Candidate 12]])</f>
        <v>0</v>
      </c>
      <c r="AS141" s="114">
        <f>IF(Audit[[#This Row],[Times p Drawn - With Replacement]]&gt;0, IF(Audit[[#This Row],[Canceled Differences]]&lt;0, Audit[[#This Row],[Max Differences]]+ABS(Audit[[#This Row],[Canceled Differences]]), Audit[[#This Row],[Max Differences]]), 0)</f>
        <v>0</v>
      </c>
      <c r="AT141" s="114">
        <f>'Sampling Data'!AB141</f>
        <v>1.6433853738701725E-3</v>
      </c>
      <c r="AU141" s="114">
        <f>IF(
      SUM(Audit[[#This Row],[Audit Losing Candidate]:[Audit Candidate 12]])
      &lt;&gt;0,
      (Audit[[#This Row],[Winning Candidate]]-Audit[[#This Row],[Losing Candidate]]-(Audit[[#This Row],[Audit Winning Candidate]]-Audit[[#This Row],[Audit Losing Candidate]]))/(Audit[[#Totals],[Winning Candidate]]-Audit[[#Totals],[Losing Candidate]]),
      0
)</f>
        <v>0</v>
      </c>
      <c r="AV1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1" s="114">
        <f>IF(Audit[[#This Row],[Max Relative Error (ep)]] = 0, 0, Audit[[#This Row],[Max Relative Error (ep)]]/Audit[[#This Row],[Error Bound (up) - Max. possible relative overstatement]])</f>
        <v>0</v>
      </c>
      <c r="BH1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1" s="114">
        <f t="shared" si="2"/>
        <v>1</v>
      </c>
      <c r="BJ141" s="114">
        <f>PRODUCT($BI$5:BI141)</f>
        <v>0.20973752198051165</v>
      </c>
      <c r="BK141" s="112">
        <f>1 - Audit[[#This Row],[K-M P Value]]</f>
        <v>0.79026247801948835</v>
      </c>
      <c r="BL141" s="114" t="str">
        <f>IF(Audit[[#This Row],[K-M P Value]]&gt;1-'General Info'!$B$12,"Continue", "Stop")</f>
        <v>Continue</v>
      </c>
      <c r="BM141" s="113" t="b">
        <f>IF(Audit[[#This Row],[Status - Continue or stop audit]] = "Continue", TRUE, IF(BL140 = "Continue", TRUE, FALSE))</f>
        <v>1</v>
      </c>
      <c r="BN141" s="113"/>
    </row>
    <row r="142" spans="1:66" ht="15" hidden="1" customHeight="1" x14ac:dyDescent="0.35">
      <c r="A142" s="114" t="str">
        <f>'Sampling Data'!AI142</f>
        <v/>
      </c>
      <c r="B142" s="114" t="str">
        <f>'Sampling Data'!A142</f>
        <v>2306 CIN 23-F   (AV)</v>
      </c>
      <c r="C142" s="114">
        <f>'Sampling Data'!B142</f>
        <v>18</v>
      </c>
      <c r="D142" s="114">
        <f>'Sampling Data'!C142</f>
        <v>2</v>
      </c>
      <c r="E142" s="115">
        <f>'Sampling Data'!D142</f>
        <v>0</v>
      </c>
      <c r="F142" s="115">
        <f>'Sampling Data'!E142</f>
        <v>0</v>
      </c>
      <c r="G142" s="115">
        <f>'Sampling Data'!F142</f>
        <v>0</v>
      </c>
      <c r="H142" s="115">
        <f>'Sampling Data'!G142</f>
        <v>0</v>
      </c>
      <c r="I142" s="115">
        <f>'Sampling Data'!H142</f>
        <v>0</v>
      </c>
      <c r="J142" s="115">
        <f>'Sampling Data'!I142</f>
        <v>0</v>
      </c>
      <c r="K142" s="115">
        <f>'Sampling Data'!J142</f>
        <v>0</v>
      </c>
      <c r="L142" s="115">
        <f>'Sampling Data'!K142</f>
        <v>0</v>
      </c>
      <c r="M142" s="115">
        <f>'Sampling Data'!L142</f>
        <v>0</v>
      </c>
      <c r="N142" s="115">
        <f>'Sampling Data'!M142</f>
        <v>0</v>
      </c>
      <c r="O142" s="114">
        <f>'Sampling Data'!N142</f>
        <v>0</v>
      </c>
      <c r="P142" s="114">
        <f>'Sampling Data'!O142</f>
        <v>1</v>
      </c>
      <c r="Q142" s="114">
        <f>'Sampling Data'!P142</f>
        <v>21</v>
      </c>
      <c r="R142" s="114">
        <f>'Sampling Data'!AJ142</f>
        <v>0</v>
      </c>
      <c r="S142" s="116"/>
      <c r="T142" s="116"/>
      <c r="U142" s="117"/>
      <c r="V142" s="117"/>
      <c r="W142" s="116"/>
      <c r="X142" s="116"/>
      <c r="Y142" s="116"/>
      <c r="Z142" s="116"/>
      <c r="AA142" s="15"/>
      <c r="AB142" s="15"/>
      <c r="AC142" s="15"/>
      <c r="AD142" s="15"/>
      <c r="AE142" s="118" t="str">
        <f>IF(NOT(ISBLANK(Audit[[#This Row],[Audit Winning Candidate]])), Audit[[#This Row],[Audit Winning Candidate]]-Audit[[#This Row],[Winning Candidate]], "")</f>
        <v/>
      </c>
      <c r="AF142" s="114" t="str">
        <f>IF(NOT(ISBLANK(Audit[[#This Row],[Audit Losing Candidate]])), Audit[[#This Row],[Audit Losing Candidate]]-Audit[[#This Row],[Losing Candidate]], "")</f>
        <v/>
      </c>
      <c r="AG142" s="114" t="str">
        <f>IF(NOT(ISBLANK(Audit[[#This Row],[Audit Candidate 3]])), Audit[[#This Row],[Audit Candidate 3]]-Audit[[#This Row],[Candidate 3]], "")</f>
        <v/>
      </c>
      <c r="AH142" s="114" t="str">
        <f>IF(NOT(ISBLANK(Audit[[#This Row],[Audit Candidate 4]])),Audit[[#This Row],[Audit Candidate 4]]-Audit[[#This Row],[Candidate 4]], "")</f>
        <v/>
      </c>
      <c r="AI142" s="114" t="str">
        <f>IF(NOT(ISBLANK(Audit[[#This Row],[Audit Candidate 5]])), Audit[[#This Row],[Audit Candidate 5]]-Audit[[#This Row],[Candidate 5]], "")</f>
        <v/>
      </c>
      <c r="AJ142" s="114" t="str">
        <f>IF(NOT(ISBLANK(Audit[[#This Row],[Audit Candidate 6]])), Audit[[#This Row],[Audit Candidate 6]]-Audit[[#This Row],[Candidate 6]], "")</f>
        <v/>
      </c>
      <c r="AK142" s="114" t="str">
        <f>IF(NOT(ISBLANK(Audit[[#This Row],[Audit Candidate 7]])), Audit[[#This Row],[Audit Candidate 7]]-Audit[[#This Row],[Candidate 7]], "")</f>
        <v/>
      </c>
      <c r="AL142" s="114" t="str">
        <f>IF(NOT(ISBLANK(Audit[[#This Row],[Audit Candidate 8]])), Audit[[#This Row],[Audit Candidate 8]]-Audit[[#This Row],[Candidate 8]], "")</f>
        <v/>
      </c>
      <c r="AM142" s="114" t="str">
        <f>IF(NOT(ISBLANK(Audit[[#This Row],[Audit Candidate 9]])), Audit[[#This Row],[Audit Candidate 9]]-Audit[[#This Row],[Candidate 9]], "")</f>
        <v/>
      </c>
      <c r="AN142" s="114" t="str">
        <f>IF(NOT(ISBLANK(Audit[[#This Row],[Audit Candidate 10]])), Audit[[#This Row],[Audit Candidate 10]]-Audit[[#This Row],[Candidate 10]], "")</f>
        <v/>
      </c>
      <c r="AO142" s="114" t="str">
        <f>IF(NOT(ISBLANK(Audit[[#This Row],[Audit Candidate 11]])), Audit[[#This Row],[Audit Candidate 11]]-Audit[[#This Row],[Candidate 11]], "")</f>
        <v/>
      </c>
      <c r="AP142" s="114" t="str">
        <f>IF(NOT(ISBLANK(Audit[[#This Row],[Audit Candidate 12]])), Audit[[#This Row],[Audit Candidate 12]]-Audit[[#This Row],[Candidate 12]], "")</f>
        <v/>
      </c>
      <c r="AQ142" s="114">
        <f>SUMIF(Audit[[#This Row],[Difference Winner]:[Difference Candidate 12]], "&gt;0")</f>
        <v>0</v>
      </c>
      <c r="AR142" s="114">
        <f>SUM(Audit[[#This Row],[Difference Winner]:[Difference Candidate 12]])</f>
        <v>0</v>
      </c>
      <c r="AS142" s="114">
        <f>IF(Audit[[#This Row],[Times p Drawn - With Replacement]]&gt;0, IF(Audit[[#This Row],[Canceled Differences]]&lt;0, Audit[[#This Row],[Max Differences]]+ABS(Audit[[#This Row],[Canceled Differences]]), Audit[[#This Row],[Max Differences]]), 0)</f>
        <v>0</v>
      </c>
      <c r="AT142" s="114">
        <f>'Sampling Data'!AB142</f>
        <v>2.338663801276784E-3</v>
      </c>
      <c r="AU142" s="114">
        <f>IF(
      SUM(Audit[[#This Row],[Audit Losing Candidate]:[Audit Candidate 12]])
      &lt;&gt;0,
      (Audit[[#This Row],[Winning Candidate]]-Audit[[#This Row],[Losing Candidate]]-(Audit[[#This Row],[Audit Winning Candidate]]-Audit[[#This Row],[Audit Losing Candidate]]))/(Audit[[#Totals],[Winning Candidate]]-Audit[[#Totals],[Losing Candidate]]),
      0
)</f>
        <v>0</v>
      </c>
      <c r="AV1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2" s="114">
        <f>IF(Audit[[#This Row],[Max Relative Error (ep)]] = 0, 0, Audit[[#This Row],[Max Relative Error (ep)]]/Audit[[#This Row],[Error Bound (up) - Max. possible relative overstatement]])</f>
        <v>0</v>
      </c>
      <c r="BH1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2" s="114">
        <f t="shared" si="2"/>
        <v>1</v>
      </c>
      <c r="BJ142" s="114">
        <f>PRODUCT($BI$5:BI142)</f>
        <v>0.20973752198051165</v>
      </c>
      <c r="BK142" s="112">
        <f>1 - Audit[[#This Row],[K-M P Value]]</f>
        <v>0.79026247801948835</v>
      </c>
      <c r="BL142" s="114" t="str">
        <f>IF(Audit[[#This Row],[K-M P Value]]&gt;1-'General Info'!$B$12,"Continue", "Stop")</f>
        <v>Continue</v>
      </c>
      <c r="BM142" s="113" t="b">
        <f>IF(Audit[[#This Row],[Status - Continue or stop audit]] = "Continue", TRUE, IF(BL141 = "Continue", TRUE, FALSE))</f>
        <v>1</v>
      </c>
      <c r="BN142" s="113"/>
    </row>
    <row r="143" spans="1:66" ht="15" hidden="1" customHeight="1" x14ac:dyDescent="0.35">
      <c r="A143" s="114" t="str">
        <f>'Sampling Data'!AI143</f>
        <v/>
      </c>
      <c r="B143" s="114" t="str">
        <f>'Sampling Data'!A143</f>
        <v>2307 CIN 23-G   (AV)</v>
      </c>
      <c r="C143" s="114">
        <f>'Sampling Data'!B143</f>
        <v>13</v>
      </c>
      <c r="D143" s="114">
        <f>'Sampling Data'!C143</f>
        <v>0</v>
      </c>
      <c r="E143" s="115">
        <f>'Sampling Data'!D143</f>
        <v>0</v>
      </c>
      <c r="F143" s="115">
        <f>'Sampling Data'!E143</f>
        <v>0</v>
      </c>
      <c r="G143" s="115">
        <f>'Sampling Data'!F143</f>
        <v>0</v>
      </c>
      <c r="H143" s="115">
        <f>'Sampling Data'!G143</f>
        <v>0</v>
      </c>
      <c r="I143" s="115">
        <f>'Sampling Data'!H143</f>
        <v>0</v>
      </c>
      <c r="J143" s="115">
        <f>'Sampling Data'!I143</f>
        <v>0</v>
      </c>
      <c r="K143" s="115">
        <f>'Sampling Data'!J143</f>
        <v>0</v>
      </c>
      <c r="L143" s="115">
        <f>'Sampling Data'!K143</f>
        <v>0</v>
      </c>
      <c r="M143" s="115">
        <f>'Sampling Data'!L143</f>
        <v>0</v>
      </c>
      <c r="N143" s="115">
        <f>'Sampling Data'!M143</f>
        <v>0</v>
      </c>
      <c r="O143" s="114">
        <f>'Sampling Data'!N143</f>
        <v>0</v>
      </c>
      <c r="P143" s="114">
        <f>'Sampling Data'!O143</f>
        <v>0</v>
      </c>
      <c r="Q143" s="114">
        <f>'Sampling Data'!P143</f>
        <v>13</v>
      </c>
      <c r="R143" s="114">
        <f>'Sampling Data'!AJ143</f>
        <v>0</v>
      </c>
      <c r="S143" s="116"/>
      <c r="T143" s="116"/>
      <c r="U143" s="117"/>
      <c r="V143" s="117"/>
      <c r="W143" s="116"/>
      <c r="X143" s="116"/>
      <c r="Y143" s="116"/>
      <c r="Z143" s="116"/>
      <c r="AA143" s="15"/>
      <c r="AB143" s="15"/>
      <c r="AC143" s="15"/>
      <c r="AD143" s="15"/>
      <c r="AE143" s="118" t="str">
        <f>IF(NOT(ISBLANK(Audit[[#This Row],[Audit Winning Candidate]])), Audit[[#This Row],[Audit Winning Candidate]]-Audit[[#This Row],[Winning Candidate]], "")</f>
        <v/>
      </c>
      <c r="AF143" s="114" t="str">
        <f>IF(NOT(ISBLANK(Audit[[#This Row],[Audit Losing Candidate]])), Audit[[#This Row],[Audit Losing Candidate]]-Audit[[#This Row],[Losing Candidate]], "")</f>
        <v/>
      </c>
      <c r="AG143" s="114" t="str">
        <f>IF(NOT(ISBLANK(Audit[[#This Row],[Audit Candidate 3]])), Audit[[#This Row],[Audit Candidate 3]]-Audit[[#This Row],[Candidate 3]], "")</f>
        <v/>
      </c>
      <c r="AH143" s="114" t="str">
        <f>IF(NOT(ISBLANK(Audit[[#This Row],[Audit Candidate 4]])),Audit[[#This Row],[Audit Candidate 4]]-Audit[[#This Row],[Candidate 4]], "")</f>
        <v/>
      </c>
      <c r="AI143" s="114" t="str">
        <f>IF(NOT(ISBLANK(Audit[[#This Row],[Audit Candidate 5]])), Audit[[#This Row],[Audit Candidate 5]]-Audit[[#This Row],[Candidate 5]], "")</f>
        <v/>
      </c>
      <c r="AJ143" s="114" t="str">
        <f>IF(NOT(ISBLANK(Audit[[#This Row],[Audit Candidate 6]])), Audit[[#This Row],[Audit Candidate 6]]-Audit[[#This Row],[Candidate 6]], "")</f>
        <v/>
      </c>
      <c r="AK143" s="114" t="str">
        <f>IF(NOT(ISBLANK(Audit[[#This Row],[Audit Candidate 7]])), Audit[[#This Row],[Audit Candidate 7]]-Audit[[#This Row],[Candidate 7]], "")</f>
        <v/>
      </c>
      <c r="AL143" s="114" t="str">
        <f>IF(NOT(ISBLANK(Audit[[#This Row],[Audit Candidate 8]])), Audit[[#This Row],[Audit Candidate 8]]-Audit[[#This Row],[Candidate 8]], "")</f>
        <v/>
      </c>
      <c r="AM143" s="114" t="str">
        <f>IF(NOT(ISBLANK(Audit[[#This Row],[Audit Candidate 9]])), Audit[[#This Row],[Audit Candidate 9]]-Audit[[#This Row],[Candidate 9]], "")</f>
        <v/>
      </c>
      <c r="AN143" s="114" t="str">
        <f>IF(NOT(ISBLANK(Audit[[#This Row],[Audit Candidate 10]])), Audit[[#This Row],[Audit Candidate 10]]-Audit[[#This Row],[Candidate 10]], "")</f>
        <v/>
      </c>
      <c r="AO143" s="114" t="str">
        <f>IF(NOT(ISBLANK(Audit[[#This Row],[Audit Candidate 11]])), Audit[[#This Row],[Audit Candidate 11]]-Audit[[#This Row],[Candidate 11]], "")</f>
        <v/>
      </c>
      <c r="AP143" s="114" t="str">
        <f>IF(NOT(ISBLANK(Audit[[#This Row],[Audit Candidate 12]])), Audit[[#This Row],[Audit Candidate 12]]-Audit[[#This Row],[Candidate 12]], "")</f>
        <v/>
      </c>
      <c r="AQ143" s="114">
        <f>SUMIF(Audit[[#This Row],[Difference Winner]:[Difference Candidate 12]], "&gt;0")</f>
        <v>0</v>
      </c>
      <c r="AR143" s="114">
        <f>SUM(Audit[[#This Row],[Difference Winner]:[Difference Candidate 12]])</f>
        <v>0</v>
      </c>
      <c r="AS143" s="114">
        <f>IF(Audit[[#This Row],[Times p Drawn - With Replacement]]&gt;0, IF(Audit[[#This Row],[Canceled Differences]]&lt;0, Audit[[#This Row],[Max Differences]]+ABS(Audit[[#This Row],[Canceled Differences]]), Audit[[#This Row],[Max Differences]]), 0)</f>
        <v>0</v>
      </c>
      <c r="AT143" s="114">
        <f>'Sampling Data'!AB143</f>
        <v>1.6433853738701725E-3</v>
      </c>
      <c r="AU143" s="114">
        <f>IF(
      SUM(Audit[[#This Row],[Audit Losing Candidate]:[Audit Candidate 12]])
      &lt;&gt;0,
      (Audit[[#This Row],[Winning Candidate]]-Audit[[#This Row],[Losing Candidate]]-(Audit[[#This Row],[Audit Winning Candidate]]-Audit[[#This Row],[Audit Losing Candidate]]))/(Audit[[#Totals],[Winning Candidate]]-Audit[[#Totals],[Losing Candidate]]),
      0
)</f>
        <v>0</v>
      </c>
      <c r="AV1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3" s="114">
        <f>IF(Audit[[#This Row],[Max Relative Error (ep)]] = 0, 0, Audit[[#This Row],[Max Relative Error (ep)]]/Audit[[#This Row],[Error Bound (up) - Max. possible relative overstatement]])</f>
        <v>0</v>
      </c>
      <c r="BH1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3" s="114">
        <f t="shared" ref="BI143:BI206" si="3">IF(ISERR(POWER(BH143,R143)), 0, POWER(BH143,R143))</f>
        <v>1</v>
      </c>
      <c r="BJ143" s="114">
        <f>PRODUCT($BI$5:BI143)</f>
        <v>0.20973752198051165</v>
      </c>
      <c r="BK143" s="112">
        <f>1 - Audit[[#This Row],[K-M P Value]]</f>
        <v>0.79026247801948835</v>
      </c>
      <c r="BL143" s="114" t="str">
        <f>IF(Audit[[#This Row],[K-M P Value]]&gt;1-'General Info'!$B$12,"Continue", "Stop")</f>
        <v>Continue</v>
      </c>
      <c r="BM143" s="113" t="b">
        <f>IF(Audit[[#This Row],[Status - Continue or stop audit]] = "Continue", TRUE, IF(BL142 = "Continue", TRUE, FALSE))</f>
        <v>1</v>
      </c>
      <c r="BN143" s="113"/>
    </row>
    <row r="144" spans="1:66" ht="15" hidden="1" customHeight="1" x14ac:dyDescent="0.35">
      <c r="A144" s="114" t="str">
        <f>'Sampling Data'!AI144</f>
        <v/>
      </c>
      <c r="B144" s="114" t="str">
        <f>'Sampling Data'!A144</f>
        <v>2308 CIN 23-H   (AV)</v>
      </c>
      <c r="C144" s="114">
        <f>'Sampling Data'!B144</f>
        <v>36</v>
      </c>
      <c r="D144" s="114">
        <f>'Sampling Data'!C144</f>
        <v>1</v>
      </c>
      <c r="E144" s="115">
        <f>'Sampling Data'!D144</f>
        <v>1</v>
      </c>
      <c r="F144" s="115">
        <f>'Sampling Data'!E144</f>
        <v>0</v>
      </c>
      <c r="G144" s="115">
        <f>'Sampling Data'!F144</f>
        <v>0</v>
      </c>
      <c r="H144" s="115">
        <f>'Sampling Data'!G144</f>
        <v>0</v>
      </c>
      <c r="I144" s="115">
        <f>'Sampling Data'!H144</f>
        <v>0</v>
      </c>
      <c r="J144" s="115">
        <f>'Sampling Data'!I144</f>
        <v>0</v>
      </c>
      <c r="K144" s="115">
        <f>'Sampling Data'!J144</f>
        <v>0</v>
      </c>
      <c r="L144" s="115">
        <f>'Sampling Data'!K144</f>
        <v>0</v>
      </c>
      <c r="M144" s="115">
        <f>'Sampling Data'!L144</f>
        <v>0</v>
      </c>
      <c r="N144" s="115">
        <f>'Sampling Data'!M144</f>
        <v>0</v>
      </c>
      <c r="O144" s="114">
        <f>'Sampling Data'!N144</f>
        <v>0</v>
      </c>
      <c r="P144" s="114">
        <f>'Sampling Data'!O144</f>
        <v>0</v>
      </c>
      <c r="Q144" s="114">
        <f>'Sampling Data'!P144</f>
        <v>38</v>
      </c>
      <c r="R144" s="114">
        <f>'Sampling Data'!AJ144</f>
        <v>0</v>
      </c>
      <c r="S144" s="116"/>
      <c r="T144" s="116"/>
      <c r="U144" s="117"/>
      <c r="V144" s="117"/>
      <c r="W144" s="116"/>
      <c r="X144" s="116"/>
      <c r="Y144" s="116"/>
      <c r="Z144" s="116"/>
      <c r="AA144" s="15"/>
      <c r="AB144" s="15"/>
      <c r="AC144" s="15"/>
      <c r="AD144" s="15"/>
      <c r="AE144" s="118" t="str">
        <f>IF(NOT(ISBLANK(Audit[[#This Row],[Audit Winning Candidate]])), Audit[[#This Row],[Audit Winning Candidate]]-Audit[[#This Row],[Winning Candidate]], "")</f>
        <v/>
      </c>
      <c r="AF144" s="114" t="str">
        <f>IF(NOT(ISBLANK(Audit[[#This Row],[Audit Losing Candidate]])), Audit[[#This Row],[Audit Losing Candidate]]-Audit[[#This Row],[Losing Candidate]], "")</f>
        <v/>
      </c>
      <c r="AG144" s="114" t="str">
        <f>IF(NOT(ISBLANK(Audit[[#This Row],[Audit Candidate 3]])), Audit[[#This Row],[Audit Candidate 3]]-Audit[[#This Row],[Candidate 3]], "")</f>
        <v/>
      </c>
      <c r="AH144" s="114" t="str">
        <f>IF(NOT(ISBLANK(Audit[[#This Row],[Audit Candidate 4]])),Audit[[#This Row],[Audit Candidate 4]]-Audit[[#This Row],[Candidate 4]], "")</f>
        <v/>
      </c>
      <c r="AI144" s="114" t="str">
        <f>IF(NOT(ISBLANK(Audit[[#This Row],[Audit Candidate 5]])), Audit[[#This Row],[Audit Candidate 5]]-Audit[[#This Row],[Candidate 5]], "")</f>
        <v/>
      </c>
      <c r="AJ144" s="114" t="str">
        <f>IF(NOT(ISBLANK(Audit[[#This Row],[Audit Candidate 6]])), Audit[[#This Row],[Audit Candidate 6]]-Audit[[#This Row],[Candidate 6]], "")</f>
        <v/>
      </c>
      <c r="AK144" s="114" t="str">
        <f>IF(NOT(ISBLANK(Audit[[#This Row],[Audit Candidate 7]])), Audit[[#This Row],[Audit Candidate 7]]-Audit[[#This Row],[Candidate 7]], "")</f>
        <v/>
      </c>
      <c r="AL144" s="114" t="str">
        <f>IF(NOT(ISBLANK(Audit[[#This Row],[Audit Candidate 8]])), Audit[[#This Row],[Audit Candidate 8]]-Audit[[#This Row],[Candidate 8]], "")</f>
        <v/>
      </c>
      <c r="AM144" s="114" t="str">
        <f>IF(NOT(ISBLANK(Audit[[#This Row],[Audit Candidate 9]])), Audit[[#This Row],[Audit Candidate 9]]-Audit[[#This Row],[Candidate 9]], "")</f>
        <v/>
      </c>
      <c r="AN144" s="114" t="str">
        <f>IF(NOT(ISBLANK(Audit[[#This Row],[Audit Candidate 10]])), Audit[[#This Row],[Audit Candidate 10]]-Audit[[#This Row],[Candidate 10]], "")</f>
        <v/>
      </c>
      <c r="AO144" s="114" t="str">
        <f>IF(NOT(ISBLANK(Audit[[#This Row],[Audit Candidate 11]])), Audit[[#This Row],[Audit Candidate 11]]-Audit[[#This Row],[Candidate 11]], "")</f>
        <v/>
      </c>
      <c r="AP144" s="114" t="str">
        <f>IF(NOT(ISBLANK(Audit[[#This Row],[Audit Candidate 12]])), Audit[[#This Row],[Audit Candidate 12]]-Audit[[#This Row],[Candidate 12]], "")</f>
        <v/>
      </c>
      <c r="AQ144" s="114">
        <f>SUMIF(Audit[[#This Row],[Difference Winner]:[Difference Candidate 12]], "&gt;0")</f>
        <v>0</v>
      </c>
      <c r="AR144" s="114">
        <f>SUM(Audit[[#This Row],[Difference Winner]:[Difference Candidate 12]])</f>
        <v>0</v>
      </c>
      <c r="AS144" s="114">
        <f>IF(Audit[[#This Row],[Times p Drawn - With Replacement]]&gt;0, IF(Audit[[#This Row],[Canceled Differences]]&lt;0, Audit[[#This Row],[Max Differences]]+ABS(Audit[[#This Row],[Canceled Differences]]), Audit[[#This Row],[Max Differences]]), 0)</f>
        <v>0</v>
      </c>
      <c r="AT144" s="114">
        <f>'Sampling Data'!AB144</f>
        <v>4.6141204727893305E-3</v>
      </c>
      <c r="AU144" s="114">
        <f>IF(
      SUM(Audit[[#This Row],[Audit Losing Candidate]:[Audit Candidate 12]])
      &lt;&gt;0,
      (Audit[[#This Row],[Winning Candidate]]-Audit[[#This Row],[Losing Candidate]]-(Audit[[#This Row],[Audit Winning Candidate]]-Audit[[#This Row],[Audit Losing Candidate]]))/(Audit[[#Totals],[Winning Candidate]]-Audit[[#Totals],[Losing Candidate]]),
      0
)</f>
        <v>0</v>
      </c>
      <c r="AV1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4" s="114">
        <f>IF(Audit[[#This Row],[Max Relative Error (ep)]] = 0, 0, Audit[[#This Row],[Max Relative Error (ep)]]/Audit[[#This Row],[Error Bound (up) - Max. possible relative overstatement]])</f>
        <v>0</v>
      </c>
      <c r="BH1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4" s="114">
        <f t="shared" si="3"/>
        <v>1</v>
      </c>
      <c r="BJ144" s="114">
        <f>PRODUCT($BI$5:BI144)</f>
        <v>0.20973752198051165</v>
      </c>
      <c r="BK144" s="112">
        <f>1 - Audit[[#This Row],[K-M P Value]]</f>
        <v>0.79026247801948835</v>
      </c>
      <c r="BL144" s="114" t="str">
        <f>IF(Audit[[#This Row],[K-M P Value]]&gt;1-'General Info'!$B$12,"Continue", "Stop")</f>
        <v>Continue</v>
      </c>
      <c r="BM144" s="113" t="b">
        <f>IF(Audit[[#This Row],[Status - Continue or stop audit]] = "Continue", TRUE, IF(BL143 = "Continue", TRUE, FALSE))</f>
        <v>1</v>
      </c>
      <c r="BN144" s="113"/>
    </row>
    <row r="145" spans="1:66" ht="15" hidden="1" customHeight="1" x14ac:dyDescent="0.35">
      <c r="A145" s="114" t="str">
        <f>'Sampling Data'!AI145</f>
        <v/>
      </c>
      <c r="B145" s="114" t="str">
        <f>'Sampling Data'!A145</f>
        <v>2309 CIN 23-I   (AV)</v>
      </c>
      <c r="C145" s="114">
        <f>'Sampling Data'!B145</f>
        <v>17</v>
      </c>
      <c r="D145" s="114">
        <f>'Sampling Data'!C145</f>
        <v>3</v>
      </c>
      <c r="E145" s="115">
        <f>'Sampling Data'!D145</f>
        <v>0</v>
      </c>
      <c r="F145" s="115">
        <f>'Sampling Data'!E145</f>
        <v>0</v>
      </c>
      <c r="G145" s="115">
        <f>'Sampling Data'!F145</f>
        <v>0</v>
      </c>
      <c r="H145" s="115">
        <f>'Sampling Data'!G145</f>
        <v>0</v>
      </c>
      <c r="I145" s="115">
        <f>'Sampling Data'!H145</f>
        <v>0</v>
      </c>
      <c r="J145" s="115">
        <f>'Sampling Data'!I145</f>
        <v>0</v>
      </c>
      <c r="K145" s="115">
        <f>'Sampling Data'!J145</f>
        <v>0</v>
      </c>
      <c r="L145" s="115">
        <f>'Sampling Data'!K145</f>
        <v>0</v>
      </c>
      <c r="M145" s="115">
        <f>'Sampling Data'!L145</f>
        <v>0</v>
      </c>
      <c r="N145" s="115">
        <f>'Sampling Data'!M145</f>
        <v>0</v>
      </c>
      <c r="O145" s="114">
        <f>'Sampling Data'!N145</f>
        <v>0</v>
      </c>
      <c r="P145" s="114">
        <f>'Sampling Data'!O145</f>
        <v>0</v>
      </c>
      <c r="Q145" s="114">
        <f>'Sampling Data'!P145</f>
        <v>20</v>
      </c>
      <c r="R145" s="114">
        <f>'Sampling Data'!AJ145</f>
        <v>0</v>
      </c>
      <c r="S145" s="116"/>
      <c r="T145" s="116"/>
      <c r="U145" s="117"/>
      <c r="V145" s="117"/>
      <c r="W145" s="116"/>
      <c r="X145" s="116"/>
      <c r="Y145" s="116"/>
      <c r="Z145" s="116"/>
      <c r="AA145" s="15"/>
      <c r="AB145" s="15"/>
      <c r="AC145" s="15"/>
      <c r="AD145" s="15"/>
      <c r="AE145" s="118" t="str">
        <f>IF(NOT(ISBLANK(Audit[[#This Row],[Audit Winning Candidate]])), Audit[[#This Row],[Audit Winning Candidate]]-Audit[[#This Row],[Winning Candidate]], "")</f>
        <v/>
      </c>
      <c r="AF145" s="114" t="str">
        <f>IF(NOT(ISBLANK(Audit[[#This Row],[Audit Losing Candidate]])), Audit[[#This Row],[Audit Losing Candidate]]-Audit[[#This Row],[Losing Candidate]], "")</f>
        <v/>
      </c>
      <c r="AG145" s="114" t="str">
        <f>IF(NOT(ISBLANK(Audit[[#This Row],[Audit Candidate 3]])), Audit[[#This Row],[Audit Candidate 3]]-Audit[[#This Row],[Candidate 3]], "")</f>
        <v/>
      </c>
      <c r="AH145" s="114" t="str">
        <f>IF(NOT(ISBLANK(Audit[[#This Row],[Audit Candidate 4]])),Audit[[#This Row],[Audit Candidate 4]]-Audit[[#This Row],[Candidate 4]], "")</f>
        <v/>
      </c>
      <c r="AI145" s="114" t="str">
        <f>IF(NOT(ISBLANK(Audit[[#This Row],[Audit Candidate 5]])), Audit[[#This Row],[Audit Candidate 5]]-Audit[[#This Row],[Candidate 5]], "")</f>
        <v/>
      </c>
      <c r="AJ145" s="114" t="str">
        <f>IF(NOT(ISBLANK(Audit[[#This Row],[Audit Candidate 6]])), Audit[[#This Row],[Audit Candidate 6]]-Audit[[#This Row],[Candidate 6]], "")</f>
        <v/>
      </c>
      <c r="AK145" s="114" t="str">
        <f>IF(NOT(ISBLANK(Audit[[#This Row],[Audit Candidate 7]])), Audit[[#This Row],[Audit Candidate 7]]-Audit[[#This Row],[Candidate 7]], "")</f>
        <v/>
      </c>
      <c r="AL145" s="114" t="str">
        <f>IF(NOT(ISBLANK(Audit[[#This Row],[Audit Candidate 8]])), Audit[[#This Row],[Audit Candidate 8]]-Audit[[#This Row],[Candidate 8]], "")</f>
        <v/>
      </c>
      <c r="AM145" s="114" t="str">
        <f>IF(NOT(ISBLANK(Audit[[#This Row],[Audit Candidate 9]])), Audit[[#This Row],[Audit Candidate 9]]-Audit[[#This Row],[Candidate 9]], "")</f>
        <v/>
      </c>
      <c r="AN145" s="114" t="str">
        <f>IF(NOT(ISBLANK(Audit[[#This Row],[Audit Candidate 10]])), Audit[[#This Row],[Audit Candidate 10]]-Audit[[#This Row],[Candidate 10]], "")</f>
        <v/>
      </c>
      <c r="AO145" s="114" t="str">
        <f>IF(NOT(ISBLANK(Audit[[#This Row],[Audit Candidate 11]])), Audit[[#This Row],[Audit Candidate 11]]-Audit[[#This Row],[Candidate 11]], "")</f>
        <v/>
      </c>
      <c r="AP145" s="114" t="str">
        <f>IF(NOT(ISBLANK(Audit[[#This Row],[Audit Candidate 12]])), Audit[[#This Row],[Audit Candidate 12]]-Audit[[#This Row],[Candidate 12]], "")</f>
        <v/>
      </c>
      <c r="AQ145" s="114">
        <f>SUMIF(Audit[[#This Row],[Difference Winner]:[Difference Candidate 12]], "&gt;0")</f>
        <v>0</v>
      </c>
      <c r="AR145" s="114">
        <f>SUM(Audit[[#This Row],[Difference Winner]:[Difference Candidate 12]])</f>
        <v>0</v>
      </c>
      <c r="AS145" s="114">
        <f>IF(Audit[[#This Row],[Times p Drawn - With Replacement]]&gt;0, IF(Audit[[#This Row],[Canceled Differences]]&lt;0, Audit[[#This Row],[Max Differences]]+ABS(Audit[[#This Row],[Canceled Differences]]), Audit[[#This Row],[Max Differences]]), 0)</f>
        <v>0</v>
      </c>
      <c r="AT145" s="114">
        <f>'Sampling Data'!AB145</f>
        <v>2.1490424119840717E-3</v>
      </c>
      <c r="AU145" s="114">
        <f>IF(
      SUM(Audit[[#This Row],[Audit Losing Candidate]:[Audit Candidate 12]])
      &lt;&gt;0,
      (Audit[[#This Row],[Winning Candidate]]-Audit[[#This Row],[Losing Candidate]]-(Audit[[#This Row],[Audit Winning Candidate]]-Audit[[#This Row],[Audit Losing Candidate]]))/(Audit[[#Totals],[Winning Candidate]]-Audit[[#Totals],[Losing Candidate]]),
      0
)</f>
        <v>0</v>
      </c>
      <c r="AV1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5" s="114">
        <f>IF(Audit[[#This Row],[Max Relative Error (ep)]] = 0, 0, Audit[[#This Row],[Max Relative Error (ep)]]/Audit[[#This Row],[Error Bound (up) - Max. possible relative overstatement]])</f>
        <v>0</v>
      </c>
      <c r="BH1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5" s="114">
        <f t="shared" si="3"/>
        <v>1</v>
      </c>
      <c r="BJ145" s="114">
        <f>PRODUCT($BI$5:BI145)</f>
        <v>0.20973752198051165</v>
      </c>
      <c r="BK145" s="112">
        <f>1 - Audit[[#This Row],[K-M P Value]]</f>
        <v>0.79026247801948835</v>
      </c>
      <c r="BL145" s="114" t="str">
        <f>IF(Audit[[#This Row],[K-M P Value]]&gt;1-'General Info'!$B$12,"Continue", "Stop")</f>
        <v>Continue</v>
      </c>
      <c r="BM145" s="113" t="b">
        <f>IF(Audit[[#This Row],[Status - Continue or stop audit]] = "Continue", TRUE, IF(BL144 = "Continue", TRUE, FALSE))</f>
        <v>1</v>
      </c>
      <c r="BN145" s="113"/>
    </row>
    <row r="146" spans="1:66" ht="15" hidden="1" customHeight="1" x14ac:dyDescent="0.35">
      <c r="A146" s="114" t="str">
        <f>'Sampling Data'!AI146</f>
        <v/>
      </c>
      <c r="B146" s="114" t="str">
        <f>'Sampling Data'!A146</f>
        <v>2310 CIN 23-J   (AV)</v>
      </c>
      <c r="C146" s="114">
        <f>'Sampling Data'!B146</f>
        <v>12</v>
      </c>
      <c r="D146" s="114">
        <f>'Sampling Data'!C146</f>
        <v>4</v>
      </c>
      <c r="E146" s="115">
        <f>'Sampling Data'!D146</f>
        <v>2</v>
      </c>
      <c r="F146" s="115">
        <f>'Sampling Data'!E146</f>
        <v>0</v>
      </c>
      <c r="G146" s="115">
        <f>'Sampling Data'!F146</f>
        <v>0</v>
      </c>
      <c r="H146" s="115">
        <f>'Sampling Data'!G146</f>
        <v>0</v>
      </c>
      <c r="I146" s="115">
        <f>'Sampling Data'!H146</f>
        <v>0</v>
      </c>
      <c r="J146" s="115">
        <f>'Sampling Data'!I146</f>
        <v>0</v>
      </c>
      <c r="K146" s="115">
        <f>'Sampling Data'!J146</f>
        <v>0</v>
      </c>
      <c r="L146" s="115">
        <f>'Sampling Data'!K146</f>
        <v>0</v>
      </c>
      <c r="M146" s="115">
        <f>'Sampling Data'!L146</f>
        <v>0</v>
      </c>
      <c r="N146" s="115">
        <f>'Sampling Data'!M146</f>
        <v>0</v>
      </c>
      <c r="O146" s="114">
        <f>'Sampling Data'!N146</f>
        <v>0</v>
      </c>
      <c r="P146" s="114">
        <f>'Sampling Data'!O146</f>
        <v>0</v>
      </c>
      <c r="Q146" s="114">
        <f>'Sampling Data'!P146</f>
        <v>18</v>
      </c>
      <c r="R146" s="114">
        <f>'Sampling Data'!AJ146</f>
        <v>0</v>
      </c>
      <c r="S146" s="116"/>
      <c r="T146" s="116"/>
      <c r="U146" s="117"/>
      <c r="V146" s="117"/>
      <c r="W146" s="116"/>
      <c r="X146" s="116"/>
      <c r="Y146" s="116"/>
      <c r="Z146" s="116"/>
      <c r="AA146" s="15"/>
      <c r="AB146" s="15"/>
      <c r="AC146" s="15"/>
      <c r="AD146" s="15"/>
      <c r="AE146" s="118" t="str">
        <f>IF(NOT(ISBLANK(Audit[[#This Row],[Audit Winning Candidate]])), Audit[[#This Row],[Audit Winning Candidate]]-Audit[[#This Row],[Winning Candidate]], "")</f>
        <v/>
      </c>
      <c r="AF146" s="114" t="str">
        <f>IF(NOT(ISBLANK(Audit[[#This Row],[Audit Losing Candidate]])), Audit[[#This Row],[Audit Losing Candidate]]-Audit[[#This Row],[Losing Candidate]], "")</f>
        <v/>
      </c>
      <c r="AG146" s="114" t="str">
        <f>IF(NOT(ISBLANK(Audit[[#This Row],[Audit Candidate 3]])), Audit[[#This Row],[Audit Candidate 3]]-Audit[[#This Row],[Candidate 3]], "")</f>
        <v/>
      </c>
      <c r="AH146" s="114" t="str">
        <f>IF(NOT(ISBLANK(Audit[[#This Row],[Audit Candidate 4]])),Audit[[#This Row],[Audit Candidate 4]]-Audit[[#This Row],[Candidate 4]], "")</f>
        <v/>
      </c>
      <c r="AI146" s="114" t="str">
        <f>IF(NOT(ISBLANK(Audit[[#This Row],[Audit Candidate 5]])), Audit[[#This Row],[Audit Candidate 5]]-Audit[[#This Row],[Candidate 5]], "")</f>
        <v/>
      </c>
      <c r="AJ146" s="114" t="str">
        <f>IF(NOT(ISBLANK(Audit[[#This Row],[Audit Candidate 6]])), Audit[[#This Row],[Audit Candidate 6]]-Audit[[#This Row],[Candidate 6]], "")</f>
        <v/>
      </c>
      <c r="AK146" s="114" t="str">
        <f>IF(NOT(ISBLANK(Audit[[#This Row],[Audit Candidate 7]])), Audit[[#This Row],[Audit Candidate 7]]-Audit[[#This Row],[Candidate 7]], "")</f>
        <v/>
      </c>
      <c r="AL146" s="114" t="str">
        <f>IF(NOT(ISBLANK(Audit[[#This Row],[Audit Candidate 8]])), Audit[[#This Row],[Audit Candidate 8]]-Audit[[#This Row],[Candidate 8]], "")</f>
        <v/>
      </c>
      <c r="AM146" s="114" t="str">
        <f>IF(NOT(ISBLANK(Audit[[#This Row],[Audit Candidate 9]])), Audit[[#This Row],[Audit Candidate 9]]-Audit[[#This Row],[Candidate 9]], "")</f>
        <v/>
      </c>
      <c r="AN146" s="114" t="str">
        <f>IF(NOT(ISBLANK(Audit[[#This Row],[Audit Candidate 10]])), Audit[[#This Row],[Audit Candidate 10]]-Audit[[#This Row],[Candidate 10]], "")</f>
        <v/>
      </c>
      <c r="AO146" s="114" t="str">
        <f>IF(NOT(ISBLANK(Audit[[#This Row],[Audit Candidate 11]])), Audit[[#This Row],[Audit Candidate 11]]-Audit[[#This Row],[Candidate 11]], "")</f>
        <v/>
      </c>
      <c r="AP146" s="114" t="str">
        <f>IF(NOT(ISBLANK(Audit[[#This Row],[Audit Candidate 12]])), Audit[[#This Row],[Audit Candidate 12]]-Audit[[#This Row],[Candidate 12]], "")</f>
        <v/>
      </c>
      <c r="AQ146" s="114">
        <f>SUMIF(Audit[[#This Row],[Difference Winner]:[Difference Candidate 12]], "&gt;0")</f>
        <v>0</v>
      </c>
      <c r="AR146" s="114">
        <f>SUM(Audit[[#This Row],[Difference Winner]:[Difference Candidate 12]])</f>
        <v>0</v>
      </c>
      <c r="AS146" s="114">
        <f>IF(Audit[[#This Row],[Times p Drawn - With Replacement]]&gt;0, IF(Audit[[#This Row],[Canceled Differences]]&lt;0, Audit[[#This Row],[Max Differences]]+ABS(Audit[[#This Row],[Canceled Differences]]), Audit[[#This Row],[Max Differences]]), 0)</f>
        <v>0</v>
      </c>
      <c r="AT146" s="114">
        <f>'Sampling Data'!AB146</f>
        <v>1.6433853738701725E-3</v>
      </c>
      <c r="AU146" s="114">
        <f>IF(
      SUM(Audit[[#This Row],[Audit Losing Candidate]:[Audit Candidate 12]])
      &lt;&gt;0,
      (Audit[[#This Row],[Winning Candidate]]-Audit[[#This Row],[Losing Candidate]]-(Audit[[#This Row],[Audit Winning Candidate]]-Audit[[#This Row],[Audit Losing Candidate]]))/(Audit[[#Totals],[Winning Candidate]]-Audit[[#Totals],[Losing Candidate]]),
      0
)</f>
        <v>0</v>
      </c>
      <c r="AV1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6" s="114">
        <f>IF(Audit[[#This Row],[Max Relative Error (ep)]] = 0, 0, Audit[[#This Row],[Max Relative Error (ep)]]/Audit[[#This Row],[Error Bound (up) - Max. possible relative overstatement]])</f>
        <v>0</v>
      </c>
      <c r="BH1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6" s="114">
        <f t="shared" si="3"/>
        <v>1</v>
      </c>
      <c r="BJ146" s="114">
        <f>PRODUCT($BI$5:BI146)</f>
        <v>0.20973752198051165</v>
      </c>
      <c r="BK146" s="112">
        <f>1 - Audit[[#This Row],[K-M P Value]]</f>
        <v>0.79026247801948835</v>
      </c>
      <c r="BL146" s="114" t="str">
        <f>IF(Audit[[#This Row],[K-M P Value]]&gt;1-'General Info'!$B$12,"Continue", "Stop")</f>
        <v>Continue</v>
      </c>
      <c r="BM146" s="113" t="b">
        <f>IF(Audit[[#This Row],[Status - Continue or stop audit]] = "Continue", TRUE, IF(BL145 = "Continue", TRUE, FALSE))</f>
        <v>1</v>
      </c>
      <c r="BN146" s="113"/>
    </row>
    <row r="147" spans="1:66" ht="15" hidden="1" customHeight="1" x14ac:dyDescent="0.35">
      <c r="A147" s="114" t="str">
        <f>'Sampling Data'!AI147</f>
        <v/>
      </c>
      <c r="B147" s="114" t="str">
        <f>'Sampling Data'!A147</f>
        <v>2311 CIN 23-K   (AV)</v>
      </c>
      <c r="C147" s="114">
        <f>'Sampling Data'!B147</f>
        <v>23</v>
      </c>
      <c r="D147" s="114">
        <f>'Sampling Data'!C147</f>
        <v>5</v>
      </c>
      <c r="E147" s="115">
        <f>'Sampling Data'!D147</f>
        <v>0</v>
      </c>
      <c r="F147" s="115">
        <f>'Sampling Data'!E147</f>
        <v>0</v>
      </c>
      <c r="G147" s="115">
        <f>'Sampling Data'!F147</f>
        <v>0</v>
      </c>
      <c r="H147" s="115">
        <f>'Sampling Data'!G147</f>
        <v>0</v>
      </c>
      <c r="I147" s="115">
        <f>'Sampling Data'!H147</f>
        <v>0</v>
      </c>
      <c r="J147" s="115">
        <f>'Sampling Data'!I147</f>
        <v>0</v>
      </c>
      <c r="K147" s="115">
        <f>'Sampling Data'!J147</f>
        <v>0</v>
      </c>
      <c r="L147" s="115">
        <f>'Sampling Data'!K147</f>
        <v>0</v>
      </c>
      <c r="M147" s="115">
        <f>'Sampling Data'!L147</f>
        <v>0</v>
      </c>
      <c r="N147" s="115">
        <f>'Sampling Data'!M147</f>
        <v>0</v>
      </c>
      <c r="O147" s="114">
        <f>'Sampling Data'!N147</f>
        <v>0</v>
      </c>
      <c r="P147" s="114">
        <f>'Sampling Data'!O147</f>
        <v>1</v>
      </c>
      <c r="Q147" s="114">
        <f>'Sampling Data'!P147</f>
        <v>29</v>
      </c>
      <c r="R147" s="114">
        <f>'Sampling Data'!AJ147</f>
        <v>0</v>
      </c>
      <c r="S147" s="116"/>
      <c r="T147" s="116"/>
      <c r="U147" s="117"/>
      <c r="V147" s="117"/>
      <c r="W147" s="116"/>
      <c r="X147" s="116"/>
      <c r="Y147" s="116"/>
      <c r="Z147" s="116"/>
      <c r="AA147" s="15"/>
      <c r="AB147" s="15"/>
      <c r="AC147" s="15"/>
      <c r="AD147" s="15"/>
      <c r="AE147" s="118" t="str">
        <f>IF(NOT(ISBLANK(Audit[[#This Row],[Audit Winning Candidate]])), Audit[[#This Row],[Audit Winning Candidate]]-Audit[[#This Row],[Winning Candidate]], "")</f>
        <v/>
      </c>
      <c r="AF147" s="114" t="str">
        <f>IF(NOT(ISBLANK(Audit[[#This Row],[Audit Losing Candidate]])), Audit[[#This Row],[Audit Losing Candidate]]-Audit[[#This Row],[Losing Candidate]], "")</f>
        <v/>
      </c>
      <c r="AG147" s="114" t="str">
        <f>IF(NOT(ISBLANK(Audit[[#This Row],[Audit Candidate 3]])), Audit[[#This Row],[Audit Candidate 3]]-Audit[[#This Row],[Candidate 3]], "")</f>
        <v/>
      </c>
      <c r="AH147" s="114" t="str">
        <f>IF(NOT(ISBLANK(Audit[[#This Row],[Audit Candidate 4]])),Audit[[#This Row],[Audit Candidate 4]]-Audit[[#This Row],[Candidate 4]], "")</f>
        <v/>
      </c>
      <c r="AI147" s="114" t="str">
        <f>IF(NOT(ISBLANK(Audit[[#This Row],[Audit Candidate 5]])), Audit[[#This Row],[Audit Candidate 5]]-Audit[[#This Row],[Candidate 5]], "")</f>
        <v/>
      </c>
      <c r="AJ147" s="114" t="str">
        <f>IF(NOT(ISBLANK(Audit[[#This Row],[Audit Candidate 6]])), Audit[[#This Row],[Audit Candidate 6]]-Audit[[#This Row],[Candidate 6]], "")</f>
        <v/>
      </c>
      <c r="AK147" s="114" t="str">
        <f>IF(NOT(ISBLANK(Audit[[#This Row],[Audit Candidate 7]])), Audit[[#This Row],[Audit Candidate 7]]-Audit[[#This Row],[Candidate 7]], "")</f>
        <v/>
      </c>
      <c r="AL147" s="114" t="str">
        <f>IF(NOT(ISBLANK(Audit[[#This Row],[Audit Candidate 8]])), Audit[[#This Row],[Audit Candidate 8]]-Audit[[#This Row],[Candidate 8]], "")</f>
        <v/>
      </c>
      <c r="AM147" s="114" t="str">
        <f>IF(NOT(ISBLANK(Audit[[#This Row],[Audit Candidate 9]])), Audit[[#This Row],[Audit Candidate 9]]-Audit[[#This Row],[Candidate 9]], "")</f>
        <v/>
      </c>
      <c r="AN147" s="114" t="str">
        <f>IF(NOT(ISBLANK(Audit[[#This Row],[Audit Candidate 10]])), Audit[[#This Row],[Audit Candidate 10]]-Audit[[#This Row],[Candidate 10]], "")</f>
        <v/>
      </c>
      <c r="AO147" s="114" t="str">
        <f>IF(NOT(ISBLANK(Audit[[#This Row],[Audit Candidate 11]])), Audit[[#This Row],[Audit Candidate 11]]-Audit[[#This Row],[Candidate 11]], "")</f>
        <v/>
      </c>
      <c r="AP147" s="114" t="str">
        <f>IF(NOT(ISBLANK(Audit[[#This Row],[Audit Candidate 12]])), Audit[[#This Row],[Audit Candidate 12]]-Audit[[#This Row],[Candidate 12]], "")</f>
        <v/>
      </c>
      <c r="AQ147" s="114">
        <f>SUMIF(Audit[[#This Row],[Difference Winner]:[Difference Candidate 12]], "&gt;0")</f>
        <v>0</v>
      </c>
      <c r="AR147" s="114">
        <f>SUM(Audit[[#This Row],[Difference Winner]:[Difference Candidate 12]])</f>
        <v>0</v>
      </c>
      <c r="AS147" s="114">
        <f>IF(Audit[[#This Row],[Times p Drawn - With Replacement]]&gt;0, IF(Audit[[#This Row],[Canceled Differences]]&lt;0, Audit[[#This Row],[Max Differences]]+ABS(Audit[[#This Row],[Canceled Differences]]), Audit[[#This Row],[Max Differences]]), 0)</f>
        <v>0</v>
      </c>
      <c r="AT147" s="114">
        <f>'Sampling Data'!AB147</f>
        <v>2.970735098919158E-3</v>
      </c>
      <c r="AU147" s="114">
        <f>IF(
      SUM(Audit[[#This Row],[Audit Losing Candidate]:[Audit Candidate 12]])
      &lt;&gt;0,
      (Audit[[#This Row],[Winning Candidate]]-Audit[[#This Row],[Losing Candidate]]-(Audit[[#This Row],[Audit Winning Candidate]]-Audit[[#This Row],[Audit Losing Candidate]]))/(Audit[[#Totals],[Winning Candidate]]-Audit[[#Totals],[Losing Candidate]]),
      0
)</f>
        <v>0</v>
      </c>
      <c r="AV1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7" s="114">
        <f>IF(Audit[[#This Row],[Max Relative Error (ep)]] = 0, 0, Audit[[#This Row],[Max Relative Error (ep)]]/Audit[[#This Row],[Error Bound (up) - Max. possible relative overstatement]])</f>
        <v>0</v>
      </c>
      <c r="BH1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7" s="114">
        <f t="shared" si="3"/>
        <v>1</v>
      </c>
      <c r="BJ147" s="114">
        <f>PRODUCT($BI$5:BI147)</f>
        <v>0.20973752198051165</v>
      </c>
      <c r="BK147" s="112">
        <f>1 - Audit[[#This Row],[K-M P Value]]</f>
        <v>0.79026247801948835</v>
      </c>
      <c r="BL147" s="114" t="str">
        <f>IF(Audit[[#This Row],[K-M P Value]]&gt;1-'General Info'!$B$12,"Continue", "Stop")</f>
        <v>Continue</v>
      </c>
      <c r="BM147" s="113" t="b">
        <f>IF(Audit[[#This Row],[Status - Continue or stop audit]] = "Continue", TRUE, IF(BL146 = "Continue", TRUE, FALSE))</f>
        <v>1</v>
      </c>
      <c r="BN147" s="113"/>
    </row>
    <row r="148" spans="1:66" ht="15" hidden="1" customHeight="1" x14ac:dyDescent="0.35">
      <c r="A148" s="114" t="str">
        <f>'Sampling Data'!AI148</f>
        <v/>
      </c>
      <c r="B148" s="114" t="str">
        <f>'Sampling Data'!A148</f>
        <v>2312 CIN 23-L   (AV)</v>
      </c>
      <c r="C148" s="114">
        <f>'Sampling Data'!B148</f>
        <v>4</v>
      </c>
      <c r="D148" s="114">
        <f>'Sampling Data'!C148</f>
        <v>0</v>
      </c>
      <c r="E148" s="115">
        <f>'Sampling Data'!D148</f>
        <v>0</v>
      </c>
      <c r="F148" s="115">
        <f>'Sampling Data'!E148</f>
        <v>0</v>
      </c>
      <c r="G148" s="115">
        <f>'Sampling Data'!F148</f>
        <v>0</v>
      </c>
      <c r="H148" s="115">
        <f>'Sampling Data'!G148</f>
        <v>0</v>
      </c>
      <c r="I148" s="115">
        <f>'Sampling Data'!H148</f>
        <v>0</v>
      </c>
      <c r="J148" s="115">
        <f>'Sampling Data'!I148</f>
        <v>0</v>
      </c>
      <c r="K148" s="115">
        <f>'Sampling Data'!J148</f>
        <v>0</v>
      </c>
      <c r="L148" s="115">
        <f>'Sampling Data'!K148</f>
        <v>0</v>
      </c>
      <c r="M148" s="115">
        <f>'Sampling Data'!L148</f>
        <v>0</v>
      </c>
      <c r="N148" s="115">
        <f>'Sampling Data'!M148</f>
        <v>0</v>
      </c>
      <c r="O148" s="114">
        <f>'Sampling Data'!N148</f>
        <v>0</v>
      </c>
      <c r="P148" s="114">
        <f>'Sampling Data'!O148</f>
        <v>0</v>
      </c>
      <c r="Q148" s="114">
        <f>'Sampling Data'!P148</f>
        <v>4</v>
      </c>
      <c r="R148" s="114">
        <f>'Sampling Data'!AJ148</f>
        <v>0</v>
      </c>
      <c r="S148" s="116"/>
      <c r="T148" s="116"/>
      <c r="U148" s="117"/>
      <c r="V148" s="117"/>
      <c r="W148" s="116"/>
      <c r="X148" s="116"/>
      <c r="Y148" s="116"/>
      <c r="Z148" s="116"/>
      <c r="AA148" s="15"/>
      <c r="AB148" s="15"/>
      <c r="AC148" s="15"/>
      <c r="AD148" s="15"/>
      <c r="AE148" s="118" t="str">
        <f>IF(NOT(ISBLANK(Audit[[#This Row],[Audit Winning Candidate]])), Audit[[#This Row],[Audit Winning Candidate]]-Audit[[#This Row],[Winning Candidate]], "")</f>
        <v/>
      </c>
      <c r="AF148" s="114" t="str">
        <f>IF(NOT(ISBLANK(Audit[[#This Row],[Audit Losing Candidate]])), Audit[[#This Row],[Audit Losing Candidate]]-Audit[[#This Row],[Losing Candidate]], "")</f>
        <v/>
      </c>
      <c r="AG148" s="114" t="str">
        <f>IF(NOT(ISBLANK(Audit[[#This Row],[Audit Candidate 3]])), Audit[[#This Row],[Audit Candidate 3]]-Audit[[#This Row],[Candidate 3]], "")</f>
        <v/>
      </c>
      <c r="AH148" s="114" t="str">
        <f>IF(NOT(ISBLANK(Audit[[#This Row],[Audit Candidate 4]])),Audit[[#This Row],[Audit Candidate 4]]-Audit[[#This Row],[Candidate 4]], "")</f>
        <v/>
      </c>
      <c r="AI148" s="114" t="str">
        <f>IF(NOT(ISBLANK(Audit[[#This Row],[Audit Candidate 5]])), Audit[[#This Row],[Audit Candidate 5]]-Audit[[#This Row],[Candidate 5]], "")</f>
        <v/>
      </c>
      <c r="AJ148" s="114" t="str">
        <f>IF(NOT(ISBLANK(Audit[[#This Row],[Audit Candidate 6]])), Audit[[#This Row],[Audit Candidate 6]]-Audit[[#This Row],[Candidate 6]], "")</f>
        <v/>
      </c>
      <c r="AK148" s="114" t="str">
        <f>IF(NOT(ISBLANK(Audit[[#This Row],[Audit Candidate 7]])), Audit[[#This Row],[Audit Candidate 7]]-Audit[[#This Row],[Candidate 7]], "")</f>
        <v/>
      </c>
      <c r="AL148" s="114" t="str">
        <f>IF(NOT(ISBLANK(Audit[[#This Row],[Audit Candidate 8]])), Audit[[#This Row],[Audit Candidate 8]]-Audit[[#This Row],[Candidate 8]], "")</f>
        <v/>
      </c>
      <c r="AM148" s="114" t="str">
        <f>IF(NOT(ISBLANK(Audit[[#This Row],[Audit Candidate 9]])), Audit[[#This Row],[Audit Candidate 9]]-Audit[[#This Row],[Candidate 9]], "")</f>
        <v/>
      </c>
      <c r="AN148" s="114" t="str">
        <f>IF(NOT(ISBLANK(Audit[[#This Row],[Audit Candidate 10]])), Audit[[#This Row],[Audit Candidate 10]]-Audit[[#This Row],[Candidate 10]], "")</f>
        <v/>
      </c>
      <c r="AO148" s="114" t="str">
        <f>IF(NOT(ISBLANK(Audit[[#This Row],[Audit Candidate 11]])), Audit[[#This Row],[Audit Candidate 11]]-Audit[[#This Row],[Candidate 11]], "")</f>
        <v/>
      </c>
      <c r="AP148" s="114" t="str">
        <f>IF(NOT(ISBLANK(Audit[[#This Row],[Audit Candidate 12]])), Audit[[#This Row],[Audit Candidate 12]]-Audit[[#This Row],[Candidate 12]], "")</f>
        <v/>
      </c>
      <c r="AQ148" s="114">
        <f>SUMIF(Audit[[#This Row],[Difference Winner]:[Difference Candidate 12]], "&gt;0")</f>
        <v>0</v>
      </c>
      <c r="AR148" s="114">
        <f>SUM(Audit[[#This Row],[Difference Winner]:[Difference Candidate 12]])</f>
        <v>0</v>
      </c>
      <c r="AS148" s="114">
        <f>IF(Audit[[#This Row],[Times p Drawn - With Replacement]]&gt;0, IF(Audit[[#This Row],[Canceled Differences]]&lt;0, Audit[[#This Row],[Max Differences]]+ABS(Audit[[#This Row],[Canceled Differences]]), Audit[[#This Row],[Max Differences]]), 0)</f>
        <v>0</v>
      </c>
      <c r="AT148" s="114">
        <f>'Sampling Data'!AB148</f>
        <v>5.0565703811389926E-4</v>
      </c>
      <c r="AU148" s="114">
        <f>IF(
      SUM(Audit[[#This Row],[Audit Losing Candidate]:[Audit Candidate 12]])
      &lt;&gt;0,
      (Audit[[#This Row],[Winning Candidate]]-Audit[[#This Row],[Losing Candidate]]-(Audit[[#This Row],[Audit Winning Candidate]]-Audit[[#This Row],[Audit Losing Candidate]]))/(Audit[[#Totals],[Winning Candidate]]-Audit[[#Totals],[Losing Candidate]]),
      0
)</f>
        <v>0</v>
      </c>
      <c r="AV1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8" s="114">
        <f>IF(Audit[[#This Row],[Max Relative Error (ep)]] = 0, 0, Audit[[#This Row],[Max Relative Error (ep)]]/Audit[[#This Row],[Error Bound (up) - Max. possible relative overstatement]])</f>
        <v>0</v>
      </c>
      <c r="BH1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8" s="114">
        <f t="shared" si="3"/>
        <v>1</v>
      </c>
      <c r="BJ148" s="114">
        <f>PRODUCT($BI$5:BI148)</f>
        <v>0.20973752198051165</v>
      </c>
      <c r="BK148" s="112">
        <f>1 - Audit[[#This Row],[K-M P Value]]</f>
        <v>0.79026247801948835</v>
      </c>
      <c r="BL148" s="114" t="str">
        <f>IF(Audit[[#This Row],[K-M P Value]]&gt;1-'General Info'!$B$12,"Continue", "Stop")</f>
        <v>Continue</v>
      </c>
      <c r="BM148" s="113" t="b">
        <f>IF(Audit[[#This Row],[Status - Continue or stop audit]] = "Continue", TRUE, IF(BL147 = "Continue", TRUE, FALSE))</f>
        <v>1</v>
      </c>
      <c r="BN148" s="113"/>
    </row>
    <row r="149" spans="1:66" ht="15" hidden="1" customHeight="1" x14ac:dyDescent="0.35">
      <c r="A149" s="114" t="str">
        <f>'Sampling Data'!AI149</f>
        <v/>
      </c>
      <c r="B149" s="114" t="str">
        <f>'Sampling Data'!A149</f>
        <v>2313 CIN 23-M   (AV)</v>
      </c>
      <c r="C149" s="114">
        <f>'Sampling Data'!B149</f>
        <v>18</v>
      </c>
      <c r="D149" s="114">
        <f>'Sampling Data'!C149</f>
        <v>3</v>
      </c>
      <c r="E149" s="115">
        <f>'Sampling Data'!D149</f>
        <v>2</v>
      </c>
      <c r="F149" s="115">
        <f>'Sampling Data'!E149</f>
        <v>0</v>
      </c>
      <c r="G149" s="115">
        <f>'Sampling Data'!F149</f>
        <v>0</v>
      </c>
      <c r="H149" s="115">
        <f>'Sampling Data'!G149</f>
        <v>0</v>
      </c>
      <c r="I149" s="115">
        <f>'Sampling Data'!H149</f>
        <v>0</v>
      </c>
      <c r="J149" s="115">
        <f>'Sampling Data'!I149</f>
        <v>0</v>
      </c>
      <c r="K149" s="115">
        <f>'Sampling Data'!J149</f>
        <v>0</v>
      </c>
      <c r="L149" s="115">
        <f>'Sampling Data'!K149</f>
        <v>0</v>
      </c>
      <c r="M149" s="115">
        <f>'Sampling Data'!L149</f>
        <v>0</v>
      </c>
      <c r="N149" s="115">
        <f>'Sampling Data'!M149</f>
        <v>0</v>
      </c>
      <c r="O149" s="114">
        <f>'Sampling Data'!N149</f>
        <v>0</v>
      </c>
      <c r="P149" s="114">
        <f>'Sampling Data'!O149</f>
        <v>1</v>
      </c>
      <c r="Q149" s="114">
        <f>'Sampling Data'!P149</f>
        <v>24</v>
      </c>
      <c r="R149" s="114">
        <f>'Sampling Data'!AJ149</f>
        <v>0</v>
      </c>
      <c r="S149" s="116"/>
      <c r="T149" s="116"/>
      <c r="U149" s="117"/>
      <c r="V149" s="117"/>
      <c r="W149" s="116"/>
      <c r="X149" s="116"/>
      <c r="Y149" s="116"/>
      <c r="Z149" s="116"/>
      <c r="AA149" s="15"/>
      <c r="AB149" s="15"/>
      <c r="AC149" s="15"/>
      <c r="AD149" s="15"/>
      <c r="AE149" s="118" t="str">
        <f>IF(NOT(ISBLANK(Audit[[#This Row],[Audit Winning Candidate]])), Audit[[#This Row],[Audit Winning Candidate]]-Audit[[#This Row],[Winning Candidate]], "")</f>
        <v/>
      </c>
      <c r="AF149" s="114" t="str">
        <f>IF(NOT(ISBLANK(Audit[[#This Row],[Audit Losing Candidate]])), Audit[[#This Row],[Audit Losing Candidate]]-Audit[[#This Row],[Losing Candidate]], "")</f>
        <v/>
      </c>
      <c r="AG149" s="114" t="str">
        <f>IF(NOT(ISBLANK(Audit[[#This Row],[Audit Candidate 3]])), Audit[[#This Row],[Audit Candidate 3]]-Audit[[#This Row],[Candidate 3]], "")</f>
        <v/>
      </c>
      <c r="AH149" s="114" t="str">
        <f>IF(NOT(ISBLANK(Audit[[#This Row],[Audit Candidate 4]])),Audit[[#This Row],[Audit Candidate 4]]-Audit[[#This Row],[Candidate 4]], "")</f>
        <v/>
      </c>
      <c r="AI149" s="114" t="str">
        <f>IF(NOT(ISBLANK(Audit[[#This Row],[Audit Candidate 5]])), Audit[[#This Row],[Audit Candidate 5]]-Audit[[#This Row],[Candidate 5]], "")</f>
        <v/>
      </c>
      <c r="AJ149" s="114" t="str">
        <f>IF(NOT(ISBLANK(Audit[[#This Row],[Audit Candidate 6]])), Audit[[#This Row],[Audit Candidate 6]]-Audit[[#This Row],[Candidate 6]], "")</f>
        <v/>
      </c>
      <c r="AK149" s="114" t="str">
        <f>IF(NOT(ISBLANK(Audit[[#This Row],[Audit Candidate 7]])), Audit[[#This Row],[Audit Candidate 7]]-Audit[[#This Row],[Candidate 7]], "")</f>
        <v/>
      </c>
      <c r="AL149" s="114" t="str">
        <f>IF(NOT(ISBLANK(Audit[[#This Row],[Audit Candidate 8]])), Audit[[#This Row],[Audit Candidate 8]]-Audit[[#This Row],[Candidate 8]], "")</f>
        <v/>
      </c>
      <c r="AM149" s="114" t="str">
        <f>IF(NOT(ISBLANK(Audit[[#This Row],[Audit Candidate 9]])), Audit[[#This Row],[Audit Candidate 9]]-Audit[[#This Row],[Candidate 9]], "")</f>
        <v/>
      </c>
      <c r="AN149" s="114" t="str">
        <f>IF(NOT(ISBLANK(Audit[[#This Row],[Audit Candidate 10]])), Audit[[#This Row],[Audit Candidate 10]]-Audit[[#This Row],[Candidate 10]], "")</f>
        <v/>
      </c>
      <c r="AO149" s="114" t="str">
        <f>IF(NOT(ISBLANK(Audit[[#This Row],[Audit Candidate 11]])), Audit[[#This Row],[Audit Candidate 11]]-Audit[[#This Row],[Candidate 11]], "")</f>
        <v/>
      </c>
      <c r="AP149" s="114" t="str">
        <f>IF(NOT(ISBLANK(Audit[[#This Row],[Audit Candidate 12]])), Audit[[#This Row],[Audit Candidate 12]]-Audit[[#This Row],[Candidate 12]], "")</f>
        <v/>
      </c>
      <c r="AQ149" s="114">
        <f>SUMIF(Audit[[#This Row],[Difference Winner]:[Difference Candidate 12]], "&gt;0")</f>
        <v>0</v>
      </c>
      <c r="AR149" s="114">
        <f>SUM(Audit[[#This Row],[Difference Winner]:[Difference Candidate 12]])</f>
        <v>0</v>
      </c>
      <c r="AS149" s="114">
        <f>IF(Audit[[#This Row],[Times p Drawn - With Replacement]]&gt;0, IF(Audit[[#This Row],[Canceled Differences]]&lt;0, Audit[[#This Row],[Max Differences]]+ABS(Audit[[#This Row],[Canceled Differences]]), Audit[[#This Row],[Max Differences]]), 0)</f>
        <v>0</v>
      </c>
      <c r="AT149" s="114">
        <f>'Sampling Data'!AB149</f>
        <v>2.4650780608052587E-3</v>
      </c>
      <c r="AU149" s="114">
        <f>IF(
      SUM(Audit[[#This Row],[Audit Losing Candidate]:[Audit Candidate 12]])
      &lt;&gt;0,
      (Audit[[#This Row],[Winning Candidate]]-Audit[[#This Row],[Losing Candidate]]-(Audit[[#This Row],[Audit Winning Candidate]]-Audit[[#This Row],[Audit Losing Candidate]]))/(Audit[[#Totals],[Winning Candidate]]-Audit[[#Totals],[Losing Candidate]]),
      0
)</f>
        <v>0</v>
      </c>
      <c r="AV1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9" s="114">
        <f>IF(Audit[[#This Row],[Max Relative Error (ep)]] = 0, 0, Audit[[#This Row],[Max Relative Error (ep)]]/Audit[[#This Row],[Error Bound (up) - Max. possible relative overstatement]])</f>
        <v>0</v>
      </c>
      <c r="BH1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49" s="114">
        <f t="shared" si="3"/>
        <v>1</v>
      </c>
      <c r="BJ149" s="114">
        <f>PRODUCT($BI$5:BI149)</f>
        <v>0.20973752198051165</v>
      </c>
      <c r="BK149" s="112">
        <f>1 - Audit[[#This Row],[K-M P Value]]</f>
        <v>0.79026247801948835</v>
      </c>
      <c r="BL149" s="114" t="str">
        <f>IF(Audit[[#This Row],[K-M P Value]]&gt;1-'General Info'!$B$12,"Continue", "Stop")</f>
        <v>Continue</v>
      </c>
      <c r="BM149" s="113" t="b">
        <f>IF(Audit[[#This Row],[Status - Continue or stop audit]] = "Continue", TRUE, IF(BL148 = "Continue", TRUE, FALSE))</f>
        <v>1</v>
      </c>
      <c r="BN149" s="113"/>
    </row>
    <row r="150" spans="1:66" ht="15" hidden="1" customHeight="1" x14ac:dyDescent="0.35">
      <c r="A150" s="114" t="str">
        <f>'Sampling Data'!AI150</f>
        <v/>
      </c>
      <c r="B150" s="114" t="str">
        <f>'Sampling Data'!A150</f>
        <v>2314 CIN 23-N   (AV)</v>
      </c>
      <c r="C150" s="114">
        <f>'Sampling Data'!B150</f>
        <v>26</v>
      </c>
      <c r="D150" s="114">
        <f>'Sampling Data'!C150</f>
        <v>5</v>
      </c>
      <c r="E150" s="115">
        <f>'Sampling Data'!D150</f>
        <v>0</v>
      </c>
      <c r="F150" s="115">
        <f>'Sampling Data'!E150</f>
        <v>0</v>
      </c>
      <c r="G150" s="115">
        <f>'Sampling Data'!F150</f>
        <v>0</v>
      </c>
      <c r="H150" s="115">
        <f>'Sampling Data'!G150</f>
        <v>0</v>
      </c>
      <c r="I150" s="115">
        <f>'Sampling Data'!H150</f>
        <v>0</v>
      </c>
      <c r="J150" s="115">
        <f>'Sampling Data'!I150</f>
        <v>0</v>
      </c>
      <c r="K150" s="115">
        <f>'Sampling Data'!J150</f>
        <v>0</v>
      </c>
      <c r="L150" s="115">
        <f>'Sampling Data'!K150</f>
        <v>0</v>
      </c>
      <c r="M150" s="115">
        <f>'Sampling Data'!L150</f>
        <v>0</v>
      </c>
      <c r="N150" s="115">
        <f>'Sampling Data'!M150</f>
        <v>0</v>
      </c>
      <c r="O150" s="114">
        <f>'Sampling Data'!N150</f>
        <v>0</v>
      </c>
      <c r="P150" s="114">
        <f>'Sampling Data'!O150</f>
        <v>0</v>
      </c>
      <c r="Q150" s="114">
        <f>'Sampling Data'!P150</f>
        <v>31</v>
      </c>
      <c r="R150" s="114">
        <f>'Sampling Data'!AJ150</f>
        <v>0</v>
      </c>
      <c r="S150" s="116"/>
      <c r="T150" s="116"/>
      <c r="U150" s="117"/>
      <c r="V150" s="117"/>
      <c r="W150" s="116"/>
      <c r="X150" s="116"/>
      <c r="Y150" s="116"/>
      <c r="Z150" s="116"/>
      <c r="AA150" s="15"/>
      <c r="AB150" s="15"/>
      <c r="AC150" s="15"/>
      <c r="AD150" s="15"/>
      <c r="AE150" s="118" t="str">
        <f>IF(NOT(ISBLANK(Audit[[#This Row],[Audit Winning Candidate]])), Audit[[#This Row],[Audit Winning Candidate]]-Audit[[#This Row],[Winning Candidate]], "")</f>
        <v/>
      </c>
      <c r="AF150" s="114" t="str">
        <f>IF(NOT(ISBLANK(Audit[[#This Row],[Audit Losing Candidate]])), Audit[[#This Row],[Audit Losing Candidate]]-Audit[[#This Row],[Losing Candidate]], "")</f>
        <v/>
      </c>
      <c r="AG150" s="114" t="str">
        <f>IF(NOT(ISBLANK(Audit[[#This Row],[Audit Candidate 3]])), Audit[[#This Row],[Audit Candidate 3]]-Audit[[#This Row],[Candidate 3]], "")</f>
        <v/>
      </c>
      <c r="AH150" s="114" t="str">
        <f>IF(NOT(ISBLANK(Audit[[#This Row],[Audit Candidate 4]])),Audit[[#This Row],[Audit Candidate 4]]-Audit[[#This Row],[Candidate 4]], "")</f>
        <v/>
      </c>
      <c r="AI150" s="114" t="str">
        <f>IF(NOT(ISBLANK(Audit[[#This Row],[Audit Candidate 5]])), Audit[[#This Row],[Audit Candidate 5]]-Audit[[#This Row],[Candidate 5]], "")</f>
        <v/>
      </c>
      <c r="AJ150" s="114" t="str">
        <f>IF(NOT(ISBLANK(Audit[[#This Row],[Audit Candidate 6]])), Audit[[#This Row],[Audit Candidate 6]]-Audit[[#This Row],[Candidate 6]], "")</f>
        <v/>
      </c>
      <c r="AK150" s="114" t="str">
        <f>IF(NOT(ISBLANK(Audit[[#This Row],[Audit Candidate 7]])), Audit[[#This Row],[Audit Candidate 7]]-Audit[[#This Row],[Candidate 7]], "")</f>
        <v/>
      </c>
      <c r="AL150" s="114" t="str">
        <f>IF(NOT(ISBLANK(Audit[[#This Row],[Audit Candidate 8]])), Audit[[#This Row],[Audit Candidate 8]]-Audit[[#This Row],[Candidate 8]], "")</f>
        <v/>
      </c>
      <c r="AM150" s="114" t="str">
        <f>IF(NOT(ISBLANK(Audit[[#This Row],[Audit Candidate 9]])), Audit[[#This Row],[Audit Candidate 9]]-Audit[[#This Row],[Candidate 9]], "")</f>
        <v/>
      </c>
      <c r="AN150" s="114" t="str">
        <f>IF(NOT(ISBLANK(Audit[[#This Row],[Audit Candidate 10]])), Audit[[#This Row],[Audit Candidate 10]]-Audit[[#This Row],[Candidate 10]], "")</f>
        <v/>
      </c>
      <c r="AO150" s="114" t="str">
        <f>IF(NOT(ISBLANK(Audit[[#This Row],[Audit Candidate 11]])), Audit[[#This Row],[Audit Candidate 11]]-Audit[[#This Row],[Candidate 11]], "")</f>
        <v/>
      </c>
      <c r="AP150" s="114" t="str">
        <f>IF(NOT(ISBLANK(Audit[[#This Row],[Audit Candidate 12]])), Audit[[#This Row],[Audit Candidate 12]]-Audit[[#This Row],[Candidate 12]], "")</f>
        <v/>
      </c>
      <c r="AQ150" s="114">
        <f>SUMIF(Audit[[#This Row],[Difference Winner]:[Difference Candidate 12]], "&gt;0")</f>
        <v>0</v>
      </c>
      <c r="AR150" s="114">
        <f>SUM(Audit[[#This Row],[Difference Winner]:[Difference Candidate 12]])</f>
        <v>0</v>
      </c>
      <c r="AS150" s="114">
        <f>IF(Audit[[#This Row],[Times p Drawn - With Replacement]]&gt;0, IF(Audit[[#This Row],[Canceled Differences]]&lt;0, Audit[[#This Row],[Max Differences]]+ABS(Audit[[#This Row],[Canceled Differences]]), Audit[[#This Row],[Max Differences]]), 0)</f>
        <v>0</v>
      </c>
      <c r="AT150" s="114">
        <f>'Sampling Data'!AB150</f>
        <v>3.286770747740345E-3</v>
      </c>
      <c r="AU150" s="114">
        <f>IF(
      SUM(Audit[[#This Row],[Audit Losing Candidate]:[Audit Candidate 12]])
      &lt;&gt;0,
      (Audit[[#This Row],[Winning Candidate]]-Audit[[#This Row],[Losing Candidate]]-(Audit[[#This Row],[Audit Winning Candidate]]-Audit[[#This Row],[Audit Losing Candidate]]))/(Audit[[#Totals],[Winning Candidate]]-Audit[[#Totals],[Losing Candidate]]),
      0
)</f>
        <v>0</v>
      </c>
      <c r="AV1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0" s="114">
        <f>IF(Audit[[#This Row],[Max Relative Error (ep)]] = 0, 0, Audit[[#This Row],[Max Relative Error (ep)]]/Audit[[#This Row],[Error Bound (up) - Max. possible relative overstatement]])</f>
        <v>0</v>
      </c>
      <c r="BH1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0" s="114">
        <f t="shared" si="3"/>
        <v>1</v>
      </c>
      <c r="BJ150" s="114">
        <f>PRODUCT($BI$5:BI150)</f>
        <v>0.20973752198051165</v>
      </c>
      <c r="BK150" s="112">
        <f>1 - Audit[[#This Row],[K-M P Value]]</f>
        <v>0.79026247801948835</v>
      </c>
      <c r="BL150" s="114" t="str">
        <f>IF(Audit[[#This Row],[K-M P Value]]&gt;1-'General Info'!$B$12,"Continue", "Stop")</f>
        <v>Continue</v>
      </c>
      <c r="BM150" s="113" t="b">
        <f>IF(Audit[[#This Row],[Status - Continue or stop audit]] = "Continue", TRUE, IF(BL149 = "Continue", TRUE, FALSE))</f>
        <v>1</v>
      </c>
      <c r="BN150" s="113"/>
    </row>
    <row r="151" spans="1:66" ht="15" hidden="1" customHeight="1" x14ac:dyDescent="0.35">
      <c r="A151" s="114" t="str">
        <f>'Sampling Data'!AI151</f>
        <v/>
      </c>
      <c r="B151" s="114" t="str">
        <f>'Sampling Data'!A151</f>
        <v>2315 CIN 23-O   (AV)</v>
      </c>
      <c r="C151" s="114">
        <f>'Sampling Data'!B151</f>
        <v>33</v>
      </c>
      <c r="D151" s="114">
        <f>'Sampling Data'!C151</f>
        <v>6</v>
      </c>
      <c r="E151" s="115">
        <f>'Sampling Data'!D151</f>
        <v>2</v>
      </c>
      <c r="F151" s="115">
        <f>'Sampling Data'!E151</f>
        <v>0</v>
      </c>
      <c r="G151" s="115">
        <f>'Sampling Data'!F151</f>
        <v>0</v>
      </c>
      <c r="H151" s="115">
        <f>'Sampling Data'!G151</f>
        <v>0</v>
      </c>
      <c r="I151" s="115">
        <f>'Sampling Data'!H151</f>
        <v>0</v>
      </c>
      <c r="J151" s="115">
        <f>'Sampling Data'!I151</f>
        <v>0</v>
      </c>
      <c r="K151" s="115">
        <f>'Sampling Data'!J151</f>
        <v>0</v>
      </c>
      <c r="L151" s="115">
        <f>'Sampling Data'!K151</f>
        <v>0</v>
      </c>
      <c r="M151" s="115">
        <f>'Sampling Data'!L151</f>
        <v>0</v>
      </c>
      <c r="N151" s="115">
        <f>'Sampling Data'!M151</f>
        <v>0</v>
      </c>
      <c r="O151" s="114">
        <f>'Sampling Data'!N151</f>
        <v>0</v>
      </c>
      <c r="P151" s="114">
        <f>'Sampling Data'!O151</f>
        <v>0</v>
      </c>
      <c r="Q151" s="114">
        <f>'Sampling Data'!P151</f>
        <v>41</v>
      </c>
      <c r="R151" s="114">
        <f>'Sampling Data'!AJ151</f>
        <v>0</v>
      </c>
      <c r="S151" s="116"/>
      <c r="T151" s="116"/>
      <c r="U151" s="117"/>
      <c r="V151" s="117"/>
      <c r="W151" s="116"/>
      <c r="X151" s="116"/>
      <c r="Y151" s="116"/>
      <c r="Z151" s="116"/>
      <c r="AA151" s="15"/>
      <c r="AB151" s="15"/>
      <c r="AC151" s="15"/>
      <c r="AD151" s="15"/>
      <c r="AE151" s="118" t="str">
        <f>IF(NOT(ISBLANK(Audit[[#This Row],[Audit Winning Candidate]])), Audit[[#This Row],[Audit Winning Candidate]]-Audit[[#This Row],[Winning Candidate]], "")</f>
        <v/>
      </c>
      <c r="AF151" s="114" t="str">
        <f>IF(NOT(ISBLANK(Audit[[#This Row],[Audit Losing Candidate]])), Audit[[#This Row],[Audit Losing Candidate]]-Audit[[#This Row],[Losing Candidate]], "")</f>
        <v/>
      </c>
      <c r="AG151" s="114" t="str">
        <f>IF(NOT(ISBLANK(Audit[[#This Row],[Audit Candidate 3]])), Audit[[#This Row],[Audit Candidate 3]]-Audit[[#This Row],[Candidate 3]], "")</f>
        <v/>
      </c>
      <c r="AH151" s="114" t="str">
        <f>IF(NOT(ISBLANK(Audit[[#This Row],[Audit Candidate 4]])),Audit[[#This Row],[Audit Candidate 4]]-Audit[[#This Row],[Candidate 4]], "")</f>
        <v/>
      </c>
      <c r="AI151" s="114" t="str">
        <f>IF(NOT(ISBLANK(Audit[[#This Row],[Audit Candidate 5]])), Audit[[#This Row],[Audit Candidate 5]]-Audit[[#This Row],[Candidate 5]], "")</f>
        <v/>
      </c>
      <c r="AJ151" s="114" t="str">
        <f>IF(NOT(ISBLANK(Audit[[#This Row],[Audit Candidate 6]])), Audit[[#This Row],[Audit Candidate 6]]-Audit[[#This Row],[Candidate 6]], "")</f>
        <v/>
      </c>
      <c r="AK151" s="114" t="str">
        <f>IF(NOT(ISBLANK(Audit[[#This Row],[Audit Candidate 7]])), Audit[[#This Row],[Audit Candidate 7]]-Audit[[#This Row],[Candidate 7]], "")</f>
        <v/>
      </c>
      <c r="AL151" s="114" t="str">
        <f>IF(NOT(ISBLANK(Audit[[#This Row],[Audit Candidate 8]])), Audit[[#This Row],[Audit Candidate 8]]-Audit[[#This Row],[Candidate 8]], "")</f>
        <v/>
      </c>
      <c r="AM151" s="114" t="str">
        <f>IF(NOT(ISBLANK(Audit[[#This Row],[Audit Candidate 9]])), Audit[[#This Row],[Audit Candidate 9]]-Audit[[#This Row],[Candidate 9]], "")</f>
        <v/>
      </c>
      <c r="AN151" s="114" t="str">
        <f>IF(NOT(ISBLANK(Audit[[#This Row],[Audit Candidate 10]])), Audit[[#This Row],[Audit Candidate 10]]-Audit[[#This Row],[Candidate 10]], "")</f>
        <v/>
      </c>
      <c r="AO151" s="114" t="str">
        <f>IF(NOT(ISBLANK(Audit[[#This Row],[Audit Candidate 11]])), Audit[[#This Row],[Audit Candidate 11]]-Audit[[#This Row],[Candidate 11]], "")</f>
        <v/>
      </c>
      <c r="AP151" s="114" t="str">
        <f>IF(NOT(ISBLANK(Audit[[#This Row],[Audit Candidate 12]])), Audit[[#This Row],[Audit Candidate 12]]-Audit[[#This Row],[Candidate 12]], "")</f>
        <v/>
      </c>
      <c r="AQ151" s="114">
        <f>SUMIF(Audit[[#This Row],[Difference Winner]:[Difference Candidate 12]], "&gt;0")</f>
        <v>0</v>
      </c>
      <c r="AR151" s="114">
        <f>SUM(Audit[[#This Row],[Difference Winner]:[Difference Candidate 12]])</f>
        <v>0</v>
      </c>
      <c r="AS151" s="114">
        <f>IF(Audit[[#This Row],[Times p Drawn - With Replacement]]&gt;0, IF(Audit[[#This Row],[Canceled Differences]]&lt;0, Audit[[#This Row],[Max Differences]]+ABS(Audit[[#This Row],[Canceled Differences]]), Audit[[#This Row],[Max Differences]]), 0)</f>
        <v>0</v>
      </c>
      <c r="AT151" s="114">
        <f>'Sampling Data'!AB151</f>
        <v>4.2980848239681435E-3</v>
      </c>
      <c r="AU151" s="114">
        <f>IF(
      SUM(Audit[[#This Row],[Audit Losing Candidate]:[Audit Candidate 12]])
      &lt;&gt;0,
      (Audit[[#This Row],[Winning Candidate]]-Audit[[#This Row],[Losing Candidate]]-(Audit[[#This Row],[Audit Winning Candidate]]-Audit[[#This Row],[Audit Losing Candidate]]))/(Audit[[#Totals],[Winning Candidate]]-Audit[[#Totals],[Losing Candidate]]),
      0
)</f>
        <v>0</v>
      </c>
      <c r="AV1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1" s="114">
        <f>IF(Audit[[#This Row],[Max Relative Error (ep)]] = 0, 0, Audit[[#This Row],[Max Relative Error (ep)]]/Audit[[#This Row],[Error Bound (up) - Max. possible relative overstatement]])</f>
        <v>0</v>
      </c>
      <c r="BH1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1" s="114">
        <f t="shared" si="3"/>
        <v>1</v>
      </c>
      <c r="BJ151" s="114">
        <f>PRODUCT($BI$5:BI151)</f>
        <v>0.20973752198051165</v>
      </c>
      <c r="BK151" s="112">
        <f>1 - Audit[[#This Row],[K-M P Value]]</f>
        <v>0.79026247801948835</v>
      </c>
      <c r="BL151" s="114" t="str">
        <f>IF(Audit[[#This Row],[K-M P Value]]&gt;1-'General Info'!$B$12,"Continue", "Stop")</f>
        <v>Continue</v>
      </c>
      <c r="BM151" s="113" t="b">
        <f>IF(Audit[[#This Row],[Status - Continue or stop audit]] = "Continue", TRUE, IF(BL150 = "Continue", TRUE, FALSE))</f>
        <v>1</v>
      </c>
      <c r="BN151" s="113"/>
    </row>
    <row r="152" spans="1:66" ht="15" hidden="1" customHeight="1" x14ac:dyDescent="0.35">
      <c r="A152" s="114" t="str">
        <f>'Sampling Data'!AI152</f>
        <v/>
      </c>
      <c r="B152" s="114" t="str">
        <f>'Sampling Data'!A152</f>
        <v>2316 CIN 23-P   (AV)</v>
      </c>
      <c r="C152" s="114">
        <f>'Sampling Data'!B152</f>
        <v>13</v>
      </c>
      <c r="D152" s="114">
        <f>'Sampling Data'!C152</f>
        <v>2</v>
      </c>
      <c r="E152" s="115">
        <f>'Sampling Data'!D152</f>
        <v>2</v>
      </c>
      <c r="F152" s="115">
        <f>'Sampling Data'!E152</f>
        <v>0</v>
      </c>
      <c r="G152" s="115">
        <f>'Sampling Data'!F152</f>
        <v>0</v>
      </c>
      <c r="H152" s="115">
        <f>'Sampling Data'!G152</f>
        <v>0</v>
      </c>
      <c r="I152" s="115">
        <f>'Sampling Data'!H152</f>
        <v>0</v>
      </c>
      <c r="J152" s="115">
        <f>'Sampling Data'!I152</f>
        <v>0</v>
      </c>
      <c r="K152" s="115">
        <f>'Sampling Data'!J152</f>
        <v>0</v>
      </c>
      <c r="L152" s="115">
        <f>'Sampling Data'!K152</f>
        <v>0</v>
      </c>
      <c r="M152" s="115">
        <f>'Sampling Data'!L152</f>
        <v>0</v>
      </c>
      <c r="N152" s="115">
        <f>'Sampling Data'!M152</f>
        <v>0</v>
      </c>
      <c r="O152" s="114">
        <f>'Sampling Data'!N152</f>
        <v>0</v>
      </c>
      <c r="P152" s="114">
        <f>'Sampling Data'!O152</f>
        <v>1</v>
      </c>
      <c r="Q152" s="114">
        <f>'Sampling Data'!P152</f>
        <v>18</v>
      </c>
      <c r="R152" s="114">
        <f>'Sampling Data'!AJ152</f>
        <v>0</v>
      </c>
      <c r="S152" s="116"/>
      <c r="T152" s="116"/>
      <c r="U152" s="117"/>
      <c r="V152" s="117"/>
      <c r="W152" s="116"/>
      <c r="X152" s="116"/>
      <c r="Y152" s="116"/>
      <c r="Z152" s="116"/>
      <c r="AA152" s="15"/>
      <c r="AB152" s="15"/>
      <c r="AC152" s="15"/>
      <c r="AD152" s="15"/>
      <c r="AE152" s="118" t="str">
        <f>IF(NOT(ISBLANK(Audit[[#This Row],[Audit Winning Candidate]])), Audit[[#This Row],[Audit Winning Candidate]]-Audit[[#This Row],[Winning Candidate]], "")</f>
        <v/>
      </c>
      <c r="AF152" s="114" t="str">
        <f>IF(NOT(ISBLANK(Audit[[#This Row],[Audit Losing Candidate]])), Audit[[#This Row],[Audit Losing Candidate]]-Audit[[#This Row],[Losing Candidate]], "")</f>
        <v/>
      </c>
      <c r="AG152" s="114" t="str">
        <f>IF(NOT(ISBLANK(Audit[[#This Row],[Audit Candidate 3]])), Audit[[#This Row],[Audit Candidate 3]]-Audit[[#This Row],[Candidate 3]], "")</f>
        <v/>
      </c>
      <c r="AH152" s="114" t="str">
        <f>IF(NOT(ISBLANK(Audit[[#This Row],[Audit Candidate 4]])),Audit[[#This Row],[Audit Candidate 4]]-Audit[[#This Row],[Candidate 4]], "")</f>
        <v/>
      </c>
      <c r="AI152" s="114" t="str">
        <f>IF(NOT(ISBLANK(Audit[[#This Row],[Audit Candidate 5]])), Audit[[#This Row],[Audit Candidate 5]]-Audit[[#This Row],[Candidate 5]], "")</f>
        <v/>
      </c>
      <c r="AJ152" s="114" t="str">
        <f>IF(NOT(ISBLANK(Audit[[#This Row],[Audit Candidate 6]])), Audit[[#This Row],[Audit Candidate 6]]-Audit[[#This Row],[Candidate 6]], "")</f>
        <v/>
      </c>
      <c r="AK152" s="114" t="str">
        <f>IF(NOT(ISBLANK(Audit[[#This Row],[Audit Candidate 7]])), Audit[[#This Row],[Audit Candidate 7]]-Audit[[#This Row],[Candidate 7]], "")</f>
        <v/>
      </c>
      <c r="AL152" s="114" t="str">
        <f>IF(NOT(ISBLANK(Audit[[#This Row],[Audit Candidate 8]])), Audit[[#This Row],[Audit Candidate 8]]-Audit[[#This Row],[Candidate 8]], "")</f>
        <v/>
      </c>
      <c r="AM152" s="114" t="str">
        <f>IF(NOT(ISBLANK(Audit[[#This Row],[Audit Candidate 9]])), Audit[[#This Row],[Audit Candidate 9]]-Audit[[#This Row],[Candidate 9]], "")</f>
        <v/>
      </c>
      <c r="AN152" s="114" t="str">
        <f>IF(NOT(ISBLANK(Audit[[#This Row],[Audit Candidate 10]])), Audit[[#This Row],[Audit Candidate 10]]-Audit[[#This Row],[Candidate 10]], "")</f>
        <v/>
      </c>
      <c r="AO152" s="114" t="str">
        <f>IF(NOT(ISBLANK(Audit[[#This Row],[Audit Candidate 11]])), Audit[[#This Row],[Audit Candidate 11]]-Audit[[#This Row],[Candidate 11]], "")</f>
        <v/>
      </c>
      <c r="AP152" s="114" t="str">
        <f>IF(NOT(ISBLANK(Audit[[#This Row],[Audit Candidate 12]])), Audit[[#This Row],[Audit Candidate 12]]-Audit[[#This Row],[Candidate 12]], "")</f>
        <v/>
      </c>
      <c r="AQ152" s="114">
        <f>SUMIF(Audit[[#This Row],[Difference Winner]:[Difference Candidate 12]], "&gt;0")</f>
        <v>0</v>
      </c>
      <c r="AR152" s="114">
        <f>SUM(Audit[[#This Row],[Difference Winner]:[Difference Candidate 12]])</f>
        <v>0</v>
      </c>
      <c r="AS152" s="114">
        <f>IF(Audit[[#This Row],[Times p Drawn - With Replacement]]&gt;0, IF(Audit[[#This Row],[Canceled Differences]]&lt;0, Audit[[#This Row],[Max Differences]]+ABS(Audit[[#This Row],[Canceled Differences]]), Audit[[#This Row],[Max Differences]]), 0)</f>
        <v>0</v>
      </c>
      <c r="AT152" s="114">
        <f>'Sampling Data'!AB152</f>
        <v>1.8330067631628848E-3</v>
      </c>
      <c r="AU152" s="114">
        <f>IF(
      SUM(Audit[[#This Row],[Audit Losing Candidate]:[Audit Candidate 12]])
      &lt;&gt;0,
      (Audit[[#This Row],[Winning Candidate]]-Audit[[#This Row],[Losing Candidate]]-(Audit[[#This Row],[Audit Winning Candidate]]-Audit[[#This Row],[Audit Losing Candidate]]))/(Audit[[#Totals],[Winning Candidate]]-Audit[[#Totals],[Losing Candidate]]),
      0
)</f>
        <v>0</v>
      </c>
      <c r="AV1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2" s="114">
        <f>IF(Audit[[#This Row],[Max Relative Error (ep)]] = 0, 0, Audit[[#This Row],[Max Relative Error (ep)]]/Audit[[#This Row],[Error Bound (up) - Max. possible relative overstatement]])</f>
        <v>0</v>
      </c>
      <c r="BH1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2" s="114">
        <f t="shared" si="3"/>
        <v>1</v>
      </c>
      <c r="BJ152" s="114">
        <f>PRODUCT($BI$5:BI152)</f>
        <v>0.20973752198051165</v>
      </c>
      <c r="BK152" s="112">
        <f>1 - Audit[[#This Row],[K-M P Value]]</f>
        <v>0.79026247801948835</v>
      </c>
      <c r="BL152" s="114" t="str">
        <f>IF(Audit[[#This Row],[K-M P Value]]&gt;1-'General Info'!$B$12,"Continue", "Stop")</f>
        <v>Continue</v>
      </c>
      <c r="BM152" s="113" t="b">
        <f>IF(Audit[[#This Row],[Status - Continue or stop audit]] = "Continue", TRUE, IF(BL151 = "Continue", TRUE, FALSE))</f>
        <v>1</v>
      </c>
      <c r="BN152" s="113"/>
    </row>
    <row r="153" spans="1:66" ht="15" hidden="1" customHeight="1" x14ac:dyDescent="0.35">
      <c r="A153" s="114" t="str">
        <f>'Sampling Data'!AI153</f>
        <v/>
      </c>
      <c r="B153" s="114" t="str">
        <f>'Sampling Data'!A153</f>
        <v>2317 CIN 23-Q   (AV)</v>
      </c>
      <c r="C153" s="114">
        <f>'Sampling Data'!B153</f>
        <v>21</v>
      </c>
      <c r="D153" s="114">
        <f>'Sampling Data'!C153</f>
        <v>2</v>
      </c>
      <c r="E153" s="115">
        <f>'Sampling Data'!D153</f>
        <v>2</v>
      </c>
      <c r="F153" s="115">
        <f>'Sampling Data'!E153</f>
        <v>0</v>
      </c>
      <c r="G153" s="115">
        <f>'Sampling Data'!F153</f>
        <v>0</v>
      </c>
      <c r="H153" s="115">
        <f>'Sampling Data'!G153</f>
        <v>0</v>
      </c>
      <c r="I153" s="115">
        <f>'Sampling Data'!H153</f>
        <v>0</v>
      </c>
      <c r="J153" s="115">
        <f>'Sampling Data'!I153</f>
        <v>0</v>
      </c>
      <c r="K153" s="115">
        <f>'Sampling Data'!J153</f>
        <v>0</v>
      </c>
      <c r="L153" s="115">
        <f>'Sampling Data'!K153</f>
        <v>0</v>
      </c>
      <c r="M153" s="115">
        <f>'Sampling Data'!L153</f>
        <v>0</v>
      </c>
      <c r="N153" s="115">
        <f>'Sampling Data'!M153</f>
        <v>0</v>
      </c>
      <c r="O153" s="114">
        <f>'Sampling Data'!N153</f>
        <v>0</v>
      </c>
      <c r="P153" s="114">
        <f>'Sampling Data'!O153</f>
        <v>1</v>
      </c>
      <c r="Q153" s="114">
        <f>'Sampling Data'!P153</f>
        <v>26</v>
      </c>
      <c r="R153" s="114">
        <f>'Sampling Data'!AJ153</f>
        <v>0</v>
      </c>
      <c r="S153" s="116"/>
      <c r="T153" s="116"/>
      <c r="U153" s="117"/>
      <c r="V153" s="117"/>
      <c r="W153" s="116"/>
      <c r="X153" s="116"/>
      <c r="Y153" s="116"/>
      <c r="Z153" s="116"/>
      <c r="AA153" s="15"/>
      <c r="AB153" s="15"/>
      <c r="AC153" s="15"/>
      <c r="AD153" s="15"/>
      <c r="AE153" s="118" t="str">
        <f>IF(NOT(ISBLANK(Audit[[#This Row],[Audit Winning Candidate]])), Audit[[#This Row],[Audit Winning Candidate]]-Audit[[#This Row],[Winning Candidate]], "")</f>
        <v/>
      </c>
      <c r="AF153" s="114" t="str">
        <f>IF(NOT(ISBLANK(Audit[[#This Row],[Audit Losing Candidate]])), Audit[[#This Row],[Audit Losing Candidate]]-Audit[[#This Row],[Losing Candidate]], "")</f>
        <v/>
      </c>
      <c r="AG153" s="114" t="str">
        <f>IF(NOT(ISBLANK(Audit[[#This Row],[Audit Candidate 3]])), Audit[[#This Row],[Audit Candidate 3]]-Audit[[#This Row],[Candidate 3]], "")</f>
        <v/>
      </c>
      <c r="AH153" s="114" t="str">
        <f>IF(NOT(ISBLANK(Audit[[#This Row],[Audit Candidate 4]])),Audit[[#This Row],[Audit Candidate 4]]-Audit[[#This Row],[Candidate 4]], "")</f>
        <v/>
      </c>
      <c r="AI153" s="114" t="str">
        <f>IF(NOT(ISBLANK(Audit[[#This Row],[Audit Candidate 5]])), Audit[[#This Row],[Audit Candidate 5]]-Audit[[#This Row],[Candidate 5]], "")</f>
        <v/>
      </c>
      <c r="AJ153" s="114" t="str">
        <f>IF(NOT(ISBLANK(Audit[[#This Row],[Audit Candidate 6]])), Audit[[#This Row],[Audit Candidate 6]]-Audit[[#This Row],[Candidate 6]], "")</f>
        <v/>
      </c>
      <c r="AK153" s="114" t="str">
        <f>IF(NOT(ISBLANK(Audit[[#This Row],[Audit Candidate 7]])), Audit[[#This Row],[Audit Candidate 7]]-Audit[[#This Row],[Candidate 7]], "")</f>
        <v/>
      </c>
      <c r="AL153" s="114" t="str">
        <f>IF(NOT(ISBLANK(Audit[[#This Row],[Audit Candidate 8]])), Audit[[#This Row],[Audit Candidate 8]]-Audit[[#This Row],[Candidate 8]], "")</f>
        <v/>
      </c>
      <c r="AM153" s="114" t="str">
        <f>IF(NOT(ISBLANK(Audit[[#This Row],[Audit Candidate 9]])), Audit[[#This Row],[Audit Candidate 9]]-Audit[[#This Row],[Candidate 9]], "")</f>
        <v/>
      </c>
      <c r="AN153" s="114" t="str">
        <f>IF(NOT(ISBLANK(Audit[[#This Row],[Audit Candidate 10]])), Audit[[#This Row],[Audit Candidate 10]]-Audit[[#This Row],[Candidate 10]], "")</f>
        <v/>
      </c>
      <c r="AO153" s="114" t="str">
        <f>IF(NOT(ISBLANK(Audit[[#This Row],[Audit Candidate 11]])), Audit[[#This Row],[Audit Candidate 11]]-Audit[[#This Row],[Candidate 11]], "")</f>
        <v/>
      </c>
      <c r="AP153" s="114" t="str">
        <f>IF(NOT(ISBLANK(Audit[[#This Row],[Audit Candidate 12]])), Audit[[#This Row],[Audit Candidate 12]]-Audit[[#This Row],[Candidate 12]], "")</f>
        <v/>
      </c>
      <c r="AQ153" s="114">
        <f>SUMIF(Audit[[#This Row],[Difference Winner]:[Difference Candidate 12]], "&gt;0")</f>
        <v>0</v>
      </c>
      <c r="AR153" s="114">
        <f>SUM(Audit[[#This Row],[Difference Winner]:[Difference Candidate 12]])</f>
        <v>0</v>
      </c>
      <c r="AS153" s="114">
        <f>IF(Audit[[#This Row],[Times p Drawn - With Replacement]]&gt;0, IF(Audit[[#This Row],[Canceled Differences]]&lt;0, Audit[[#This Row],[Max Differences]]+ABS(Audit[[#This Row],[Canceled Differences]]), Audit[[#This Row],[Max Differences]]), 0)</f>
        <v>0</v>
      </c>
      <c r="AT153" s="114">
        <f>'Sampling Data'!AB153</f>
        <v>2.8443208393906833E-3</v>
      </c>
      <c r="AU153" s="114">
        <f>IF(
      SUM(Audit[[#This Row],[Audit Losing Candidate]:[Audit Candidate 12]])
      &lt;&gt;0,
      (Audit[[#This Row],[Winning Candidate]]-Audit[[#This Row],[Losing Candidate]]-(Audit[[#This Row],[Audit Winning Candidate]]-Audit[[#This Row],[Audit Losing Candidate]]))/(Audit[[#Totals],[Winning Candidate]]-Audit[[#Totals],[Losing Candidate]]),
      0
)</f>
        <v>0</v>
      </c>
      <c r="AV1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3" s="114">
        <f>IF(Audit[[#This Row],[Max Relative Error (ep)]] = 0, 0, Audit[[#This Row],[Max Relative Error (ep)]]/Audit[[#This Row],[Error Bound (up) - Max. possible relative overstatement]])</f>
        <v>0</v>
      </c>
      <c r="BH1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3" s="114">
        <f t="shared" si="3"/>
        <v>1</v>
      </c>
      <c r="BJ153" s="114">
        <f>PRODUCT($BI$5:BI153)</f>
        <v>0.20973752198051165</v>
      </c>
      <c r="BK153" s="112">
        <f>1 - Audit[[#This Row],[K-M P Value]]</f>
        <v>0.79026247801948835</v>
      </c>
      <c r="BL153" s="114" t="str">
        <f>IF(Audit[[#This Row],[K-M P Value]]&gt;1-'General Info'!$B$12,"Continue", "Stop")</f>
        <v>Continue</v>
      </c>
      <c r="BM153" s="113" t="b">
        <f>IF(Audit[[#This Row],[Status - Continue or stop audit]] = "Continue", TRUE, IF(BL152 = "Continue", TRUE, FALSE))</f>
        <v>1</v>
      </c>
      <c r="BN153" s="113"/>
    </row>
    <row r="154" spans="1:66" ht="15" hidden="1" customHeight="1" x14ac:dyDescent="0.35">
      <c r="A154" s="114" t="str">
        <f>'Sampling Data'!AI154</f>
        <v/>
      </c>
      <c r="B154" s="114" t="str">
        <f>'Sampling Data'!A154</f>
        <v>2318 CIN 23-R   (AV)</v>
      </c>
      <c r="C154" s="114">
        <f>'Sampling Data'!B154</f>
        <v>9</v>
      </c>
      <c r="D154" s="114">
        <f>'Sampling Data'!C154</f>
        <v>2</v>
      </c>
      <c r="E154" s="115">
        <f>'Sampling Data'!D154</f>
        <v>0</v>
      </c>
      <c r="F154" s="115">
        <f>'Sampling Data'!E154</f>
        <v>0</v>
      </c>
      <c r="G154" s="115">
        <f>'Sampling Data'!F154</f>
        <v>0</v>
      </c>
      <c r="H154" s="115">
        <f>'Sampling Data'!G154</f>
        <v>0</v>
      </c>
      <c r="I154" s="115">
        <f>'Sampling Data'!H154</f>
        <v>0</v>
      </c>
      <c r="J154" s="115">
        <f>'Sampling Data'!I154</f>
        <v>0</v>
      </c>
      <c r="K154" s="115">
        <f>'Sampling Data'!J154</f>
        <v>0</v>
      </c>
      <c r="L154" s="115">
        <f>'Sampling Data'!K154</f>
        <v>0</v>
      </c>
      <c r="M154" s="115">
        <f>'Sampling Data'!L154</f>
        <v>0</v>
      </c>
      <c r="N154" s="115">
        <f>'Sampling Data'!M154</f>
        <v>0</v>
      </c>
      <c r="O154" s="114">
        <f>'Sampling Data'!N154</f>
        <v>0</v>
      </c>
      <c r="P154" s="114">
        <f>'Sampling Data'!O154</f>
        <v>0</v>
      </c>
      <c r="Q154" s="114">
        <f>'Sampling Data'!P154</f>
        <v>11</v>
      </c>
      <c r="R154" s="114">
        <f>'Sampling Data'!AJ154</f>
        <v>0</v>
      </c>
      <c r="S154" s="116"/>
      <c r="T154" s="116"/>
      <c r="U154" s="117"/>
      <c r="V154" s="117"/>
      <c r="W154" s="116"/>
      <c r="X154" s="116"/>
      <c r="Y154" s="116"/>
      <c r="Z154" s="116"/>
      <c r="AA154" s="15"/>
      <c r="AB154" s="15"/>
      <c r="AC154" s="15"/>
      <c r="AD154" s="15"/>
      <c r="AE154" s="118" t="str">
        <f>IF(NOT(ISBLANK(Audit[[#This Row],[Audit Winning Candidate]])), Audit[[#This Row],[Audit Winning Candidate]]-Audit[[#This Row],[Winning Candidate]], "")</f>
        <v/>
      </c>
      <c r="AF154" s="114" t="str">
        <f>IF(NOT(ISBLANK(Audit[[#This Row],[Audit Losing Candidate]])), Audit[[#This Row],[Audit Losing Candidate]]-Audit[[#This Row],[Losing Candidate]], "")</f>
        <v/>
      </c>
      <c r="AG154" s="114" t="str">
        <f>IF(NOT(ISBLANK(Audit[[#This Row],[Audit Candidate 3]])), Audit[[#This Row],[Audit Candidate 3]]-Audit[[#This Row],[Candidate 3]], "")</f>
        <v/>
      </c>
      <c r="AH154" s="114" t="str">
        <f>IF(NOT(ISBLANK(Audit[[#This Row],[Audit Candidate 4]])),Audit[[#This Row],[Audit Candidate 4]]-Audit[[#This Row],[Candidate 4]], "")</f>
        <v/>
      </c>
      <c r="AI154" s="114" t="str">
        <f>IF(NOT(ISBLANK(Audit[[#This Row],[Audit Candidate 5]])), Audit[[#This Row],[Audit Candidate 5]]-Audit[[#This Row],[Candidate 5]], "")</f>
        <v/>
      </c>
      <c r="AJ154" s="114" t="str">
        <f>IF(NOT(ISBLANK(Audit[[#This Row],[Audit Candidate 6]])), Audit[[#This Row],[Audit Candidate 6]]-Audit[[#This Row],[Candidate 6]], "")</f>
        <v/>
      </c>
      <c r="AK154" s="114" t="str">
        <f>IF(NOT(ISBLANK(Audit[[#This Row],[Audit Candidate 7]])), Audit[[#This Row],[Audit Candidate 7]]-Audit[[#This Row],[Candidate 7]], "")</f>
        <v/>
      </c>
      <c r="AL154" s="114" t="str">
        <f>IF(NOT(ISBLANK(Audit[[#This Row],[Audit Candidate 8]])), Audit[[#This Row],[Audit Candidate 8]]-Audit[[#This Row],[Candidate 8]], "")</f>
        <v/>
      </c>
      <c r="AM154" s="114" t="str">
        <f>IF(NOT(ISBLANK(Audit[[#This Row],[Audit Candidate 9]])), Audit[[#This Row],[Audit Candidate 9]]-Audit[[#This Row],[Candidate 9]], "")</f>
        <v/>
      </c>
      <c r="AN154" s="114" t="str">
        <f>IF(NOT(ISBLANK(Audit[[#This Row],[Audit Candidate 10]])), Audit[[#This Row],[Audit Candidate 10]]-Audit[[#This Row],[Candidate 10]], "")</f>
        <v/>
      </c>
      <c r="AO154" s="114" t="str">
        <f>IF(NOT(ISBLANK(Audit[[#This Row],[Audit Candidate 11]])), Audit[[#This Row],[Audit Candidate 11]]-Audit[[#This Row],[Candidate 11]], "")</f>
        <v/>
      </c>
      <c r="AP154" s="114" t="str">
        <f>IF(NOT(ISBLANK(Audit[[#This Row],[Audit Candidate 12]])), Audit[[#This Row],[Audit Candidate 12]]-Audit[[#This Row],[Candidate 12]], "")</f>
        <v/>
      </c>
      <c r="AQ154" s="114">
        <f>SUMIF(Audit[[#This Row],[Difference Winner]:[Difference Candidate 12]], "&gt;0")</f>
        <v>0</v>
      </c>
      <c r="AR154" s="114">
        <f>SUM(Audit[[#This Row],[Difference Winner]:[Difference Candidate 12]])</f>
        <v>0</v>
      </c>
      <c r="AS154" s="114">
        <f>IF(Audit[[#This Row],[Times p Drawn - With Replacement]]&gt;0, IF(Audit[[#This Row],[Canceled Differences]]&lt;0, Audit[[#This Row],[Max Differences]]+ABS(Audit[[#This Row],[Canceled Differences]]), Audit[[#This Row],[Max Differences]]), 0)</f>
        <v>0</v>
      </c>
      <c r="AT154" s="114">
        <f>'Sampling Data'!AB154</f>
        <v>1.1377283357562732E-3</v>
      </c>
      <c r="AU154" s="114">
        <f>IF(
      SUM(Audit[[#This Row],[Audit Losing Candidate]:[Audit Candidate 12]])
      &lt;&gt;0,
      (Audit[[#This Row],[Winning Candidate]]-Audit[[#This Row],[Losing Candidate]]-(Audit[[#This Row],[Audit Winning Candidate]]-Audit[[#This Row],[Audit Losing Candidate]]))/(Audit[[#Totals],[Winning Candidate]]-Audit[[#Totals],[Losing Candidate]]),
      0
)</f>
        <v>0</v>
      </c>
      <c r="AV1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4" s="114">
        <f>IF(Audit[[#This Row],[Max Relative Error (ep)]] = 0, 0, Audit[[#This Row],[Max Relative Error (ep)]]/Audit[[#This Row],[Error Bound (up) - Max. possible relative overstatement]])</f>
        <v>0</v>
      </c>
      <c r="BH1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4" s="114">
        <f t="shared" si="3"/>
        <v>1</v>
      </c>
      <c r="BJ154" s="114">
        <f>PRODUCT($BI$5:BI154)</f>
        <v>0.20973752198051165</v>
      </c>
      <c r="BK154" s="112">
        <f>1 - Audit[[#This Row],[K-M P Value]]</f>
        <v>0.79026247801948835</v>
      </c>
      <c r="BL154" s="114" t="str">
        <f>IF(Audit[[#This Row],[K-M P Value]]&gt;1-'General Info'!$B$12,"Continue", "Stop")</f>
        <v>Continue</v>
      </c>
      <c r="BM154" s="113" t="b">
        <f>IF(Audit[[#This Row],[Status - Continue or stop audit]] = "Continue", TRUE, IF(BL153 = "Continue", TRUE, FALSE))</f>
        <v>1</v>
      </c>
      <c r="BN154" s="113"/>
    </row>
    <row r="155" spans="1:66" ht="15" hidden="1" customHeight="1" x14ac:dyDescent="0.35">
      <c r="A155" s="114" t="str">
        <f>'Sampling Data'!AI155</f>
        <v/>
      </c>
      <c r="B155" s="114" t="str">
        <f>'Sampling Data'!A155</f>
        <v>2401 CIN 24-A   (AV)</v>
      </c>
      <c r="C155" s="114">
        <f>'Sampling Data'!B155</f>
        <v>28</v>
      </c>
      <c r="D155" s="114">
        <f>'Sampling Data'!C155</f>
        <v>2</v>
      </c>
      <c r="E155" s="115">
        <f>'Sampling Data'!D155</f>
        <v>0</v>
      </c>
      <c r="F155" s="115">
        <f>'Sampling Data'!E155</f>
        <v>0</v>
      </c>
      <c r="G155" s="115">
        <f>'Sampling Data'!F155</f>
        <v>0</v>
      </c>
      <c r="H155" s="115">
        <f>'Sampling Data'!G155</f>
        <v>0</v>
      </c>
      <c r="I155" s="115">
        <f>'Sampling Data'!H155</f>
        <v>0</v>
      </c>
      <c r="J155" s="115">
        <f>'Sampling Data'!I155</f>
        <v>0</v>
      </c>
      <c r="K155" s="115">
        <f>'Sampling Data'!J155</f>
        <v>0</v>
      </c>
      <c r="L155" s="115">
        <f>'Sampling Data'!K155</f>
        <v>0</v>
      </c>
      <c r="M155" s="115">
        <f>'Sampling Data'!L155</f>
        <v>0</v>
      </c>
      <c r="N155" s="115">
        <f>'Sampling Data'!M155</f>
        <v>0</v>
      </c>
      <c r="O155" s="114">
        <f>'Sampling Data'!N155</f>
        <v>1</v>
      </c>
      <c r="P155" s="114">
        <f>'Sampling Data'!O155</f>
        <v>0</v>
      </c>
      <c r="Q155" s="114">
        <f>'Sampling Data'!P155</f>
        <v>31</v>
      </c>
      <c r="R155" s="114">
        <f>'Sampling Data'!AJ155</f>
        <v>0</v>
      </c>
      <c r="S155" s="116"/>
      <c r="T155" s="116"/>
      <c r="U155" s="117"/>
      <c r="V155" s="117"/>
      <c r="W155" s="116"/>
      <c r="X155" s="116"/>
      <c r="Y155" s="116"/>
      <c r="Z155" s="116"/>
      <c r="AA155" s="15"/>
      <c r="AB155" s="15"/>
      <c r="AC155" s="15"/>
      <c r="AD155" s="15"/>
      <c r="AE155" s="118" t="str">
        <f>IF(NOT(ISBLANK(Audit[[#This Row],[Audit Winning Candidate]])), Audit[[#This Row],[Audit Winning Candidate]]-Audit[[#This Row],[Winning Candidate]], "")</f>
        <v/>
      </c>
      <c r="AF155" s="114" t="str">
        <f>IF(NOT(ISBLANK(Audit[[#This Row],[Audit Losing Candidate]])), Audit[[#This Row],[Audit Losing Candidate]]-Audit[[#This Row],[Losing Candidate]], "")</f>
        <v/>
      </c>
      <c r="AG155" s="114" t="str">
        <f>IF(NOT(ISBLANK(Audit[[#This Row],[Audit Candidate 3]])), Audit[[#This Row],[Audit Candidate 3]]-Audit[[#This Row],[Candidate 3]], "")</f>
        <v/>
      </c>
      <c r="AH155" s="114" t="str">
        <f>IF(NOT(ISBLANK(Audit[[#This Row],[Audit Candidate 4]])),Audit[[#This Row],[Audit Candidate 4]]-Audit[[#This Row],[Candidate 4]], "")</f>
        <v/>
      </c>
      <c r="AI155" s="114" t="str">
        <f>IF(NOT(ISBLANK(Audit[[#This Row],[Audit Candidate 5]])), Audit[[#This Row],[Audit Candidate 5]]-Audit[[#This Row],[Candidate 5]], "")</f>
        <v/>
      </c>
      <c r="AJ155" s="114" t="str">
        <f>IF(NOT(ISBLANK(Audit[[#This Row],[Audit Candidate 6]])), Audit[[#This Row],[Audit Candidate 6]]-Audit[[#This Row],[Candidate 6]], "")</f>
        <v/>
      </c>
      <c r="AK155" s="114" t="str">
        <f>IF(NOT(ISBLANK(Audit[[#This Row],[Audit Candidate 7]])), Audit[[#This Row],[Audit Candidate 7]]-Audit[[#This Row],[Candidate 7]], "")</f>
        <v/>
      </c>
      <c r="AL155" s="114" t="str">
        <f>IF(NOT(ISBLANK(Audit[[#This Row],[Audit Candidate 8]])), Audit[[#This Row],[Audit Candidate 8]]-Audit[[#This Row],[Candidate 8]], "")</f>
        <v/>
      </c>
      <c r="AM155" s="114" t="str">
        <f>IF(NOT(ISBLANK(Audit[[#This Row],[Audit Candidate 9]])), Audit[[#This Row],[Audit Candidate 9]]-Audit[[#This Row],[Candidate 9]], "")</f>
        <v/>
      </c>
      <c r="AN155" s="114" t="str">
        <f>IF(NOT(ISBLANK(Audit[[#This Row],[Audit Candidate 10]])), Audit[[#This Row],[Audit Candidate 10]]-Audit[[#This Row],[Candidate 10]], "")</f>
        <v/>
      </c>
      <c r="AO155" s="114" t="str">
        <f>IF(NOT(ISBLANK(Audit[[#This Row],[Audit Candidate 11]])), Audit[[#This Row],[Audit Candidate 11]]-Audit[[#This Row],[Candidate 11]], "")</f>
        <v/>
      </c>
      <c r="AP155" s="114" t="str">
        <f>IF(NOT(ISBLANK(Audit[[#This Row],[Audit Candidate 12]])), Audit[[#This Row],[Audit Candidate 12]]-Audit[[#This Row],[Candidate 12]], "")</f>
        <v/>
      </c>
      <c r="AQ155" s="114">
        <f>SUMIF(Audit[[#This Row],[Difference Winner]:[Difference Candidate 12]], "&gt;0")</f>
        <v>0</v>
      </c>
      <c r="AR155" s="114">
        <f>SUM(Audit[[#This Row],[Difference Winner]:[Difference Candidate 12]])</f>
        <v>0</v>
      </c>
      <c r="AS155" s="114">
        <f>IF(Audit[[#This Row],[Times p Drawn - With Replacement]]&gt;0, IF(Audit[[#This Row],[Canceled Differences]]&lt;0, Audit[[#This Row],[Max Differences]]+ABS(Audit[[#This Row],[Canceled Differences]]), Audit[[#This Row],[Max Differences]]), 0)</f>
        <v>0</v>
      </c>
      <c r="AT155" s="114">
        <f>'Sampling Data'!AB155</f>
        <v>3.6028063965615319E-3</v>
      </c>
      <c r="AU155" s="114">
        <f>IF(
      SUM(Audit[[#This Row],[Audit Losing Candidate]:[Audit Candidate 12]])
      &lt;&gt;0,
      (Audit[[#This Row],[Winning Candidate]]-Audit[[#This Row],[Losing Candidate]]-(Audit[[#This Row],[Audit Winning Candidate]]-Audit[[#This Row],[Audit Losing Candidate]]))/(Audit[[#Totals],[Winning Candidate]]-Audit[[#Totals],[Losing Candidate]]),
      0
)</f>
        <v>0</v>
      </c>
      <c r="AV1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5" s="114">
        <f>IF(Audit[[#This Row],[Max Relative Error (ep)]] = 0, 0, Audit[[#This Row],[Max Relative Error (ep)]]/Audit[[#This Row],[Error Bound (up) - Max. possible relative overstatement]])</f>
        <v>0</v>
      </c>
      <c r="BH1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5" s="114">
        <f t="shared" si="3"/>
        <v>1</v>
      </c>
      <c r="BJ155" s="114">
        <f>PRODUCT($BI$5:BI155)</f>
        <v>0.20973752198051165</v>
      </c>
      <c r="BK155" s="112">
        <f>1 - Audit[[#This Row],[K-M P Value]]</f>
        <v>0.79026247801948835</v>
      </c>
      <c r="BL155" s="114" t="str">
        <f>IF(Audit[[#This Row],[K-M P Value]]&gt;1-'General Info'!$B$12,"Continue", "Stop")</f>
        <v>Continue</v>
      </c>
      <c r="BM155" s="113" t="b">
        <f>IF(Audit[[#This Row],[Status - Continue or stop audit]] = "Continue", TRUE, IF(BL154 = "Continue", TRUE, FALSE))</f>
        <v>1</v>
      </c>
      <c r="BN155" s="113"/>
    </row>
    <row r="156" spans="1:66" ht="15" hidden="1" customHeight="1" x14ac:dyDescent="0.35">
      <c r="A156" s="114" t="str">
        <f>'Sampling Data'!AI156</f>
        <v/>
      </c>
      <c r="B156" s="114" t="str">
        <f>'Sampling Data'!A156</f>
        <v>2402 CIN 24-B   (AV)</v>
      </c>
      <c r="C156" s="114">
        <f>'Sampling Data'!B156</f>
        <v>13</v>
      </c>
      <c r="D156" s="114">
        <f>'Sampling Data'!C156</f>
        <v>0</v>
      </c>
      <c r="E156" s="115">
        <f>'Sampling Data'!D156</f>
        <v>2</v>
      </c>
      <c r="F156" s="115">
        <f>'Sampling Data'!E156</f>
        <v>0</v>
      </c>
      <c r="G156" s="115">
        <f>'Sampling Data'!F156</f>
        <v>0</v>
      </c>
      <c r="H156" s="115">
        <f>'Sampling Data'!G156</f>
        <v>0</v>
      </c>
      <c r="I156" s="115">
        <f>'Sampling Data'!H156</f>
        <v>0</v>
      </c>
      <c r="J156" s="115">
        <f>'Sampling Data'!I156</f>
        <v>0</v>
      </c>
      <c r="K156" s="115">
        <f>'Sampling Data'!J156</f>
        <v>0</v>
      </c>
      <c r="L156" s="115">
        <f>'Sampling Data'!K156</f>
        <v>0</v>
      </c>
      <c r="M156" s="115">
        <f>'Sampling Data'!L156</f>
        <v>0</v>
      </c>
      <c r="N156" s="115">
        <f>'Sampling Data'!M156</f>
        <v>0</v>
      </c>
      <c r="O156" s="114">
        <f>'Sampling Data'!N156</f>
        <v>0</v>
      </c>
      <c r="P156" s="114">
        <f>'Sampling Data'!O156</f>
        <v>0</v>
      </c>
      <c r="Q156" s="114">
        <f>'Sampling Data'!P156</f>
        <v>15</v>
      </c>
      <c r="R156" s="114">
        <f>'Sampling Data'!AJ156</f>
        <v>0</v>
      </c>
      <c r="S156" s="116"/>
      <c r="T156" s="116"/>
      <c r="U156" s="117"/>
      <c r="V156" s="117"/>
      <c r="W156" s="116"/>
      <c r="X156" s="116"/>
      <c r="Y156" s="116"/>
      <c r="Z156" s="116"/>
      <c r="AA156" s="15"/>
      <c r="AB156" s="15"/>
      <c r="AC156" s="15"/>
      <c r="AD156" s="15"/>
      <c r="AE156" s="118" t="str">
        <f>IF(NOT(ISBLANK(Audit[[#This Row],[Audit Winning Candidate]])), Audit[[#This Row],[Audit Winning Candidate]]-Audit[[#This Row],[Winning Candidate]], "")</f>
        <v/>
      </c>
      <c r="AF156" s="114" t="str">
        <f>IF(NOT(ISBLANK(Audit[[#This Row],[Audit Losing Candidate]])), Audit[[#This Row],[Audit Losing Candidate]]-Audit[[#This Row],[Losing Candidate]], "")</f>
        <v/>
      </c>
      <c r="AG156" s="114" t="str">
        <f>IF(NOT(ISBLANK(Audit[[#This Row],[Audit Candidate 3]])), Audit[[#This Row],[Audit Candidate 3]]-Audit[[#This Row],[Candidate 3]], "")</f>
        <v/>
      </c>
      <c r="AH156" s="114" t="str">
        <f>IF(NOT(ISBLANK(Audit[[#This Row],[Audit Candidate 4]])),Audit[[#This Row],[Audit Candidate 4]]-Audit[[#This Row],[Candidate 4]], "")</f>
        <v/>
      </c>
      <c r="AI156" s="114" t="str">
        <f>IF(NOT(ISBLANK(Audit[[#This Row],[Audit Candidate 5]])), Audit[[#This Row],[Audit Candidate 5]]-Audit[[#This Row],[Candidate 5]], "")</f>
        <v/>
      </c>
      <c r="AJ156" s="114" t="str">
        <f>IF(NOT(ISBLANK(Audit[[#This Row],[Audit Candidate 6]])), Audit[[#This Row],[Audit Candidate 6]]-Audit[[#This Row],[Candidate 6]], "")</f>
        <v/>
      </c>
      <c r="AK156" s="114" t="str">
        <f>IF(NOT(ISBLANK(Audit[[#This Row],[Audit Candidate 7]])), Audit[[#This Row],[Audit Candidate 7]]-Audit[[#This Row],[Candidate 7]], "")</f>
        <v/>
      </c>
      <c r="AL156" s="114" t="str">
        <f>IF(NOT(ISBLANK(Audit[[#This Row],[Audit Candidate 8]])), Audit[[#This Row],[Audit Candidate 8]]-Audit[[#This Row],[Candidate 8]], "")</f>
        <v/>
      </c>
      <c r="AM156" s="114" t="str">
        <f>IF(NOT(ISBLANK(Audit[[#This Row],[Audit Candidate 9]])), Audit[[#This Row],[Audit Candidate 9]]-Audit[[#This Row],[Candidate 9]], "")</f>
        <v/>
      </c>
      <c r="AN156" s="114" t="str">
        <f>IF(NOT(ISBLANK(Audit[[#This Row],[Audit Candidate 10]])), Audit[[#This Row],[Audit Candidate 10]]-Audit[[#This Row],[Candidate 10]], "")</f>
        <v/>
      </c>
      <c r="AO156" s="114" t="str">
        <f>IF(NOT(ISBLANK(Audit[[#This Row],[Audit Candidate 11]])), Audit[[#This Row],[Audit Candidate 11]]-Audit[[#This Row],[Candidate 11]], "")</f>
        <v/>
      </c>
      <c r="AP156" s="114" t="str">
        <f>IF(NOT(ISBLANK(Audit[[#This Row],[Audit Candidate 12]])), Audit[[#This Row],[Audit Candidate 12]]-Audit[[#This Row],[Candidate 12]], "")</f>
        <v/>
      </c>
      <c r="AQ156" s="114">
        <f>SUMIF(Audit[[#This Row],[Difference Winner]:[Difference Candidate 12]], "&gt;0")</f>
        <v>0</v>
      </c>
      <c r="AR156" s="114">
        <f>SUM(Audit[[#This Row],[Difference Winner]:[Difference Candidate 12]])</f>
        <v>0</v>
      </c>
      <c r="AS156" s="114">
        <f>IF(Audit[[#This Row],[Times p Drawn - With Replacement]]&gt;0, IF(Audit[[#This Row],[Canceled Differences]]&lt;0, Audit[[#This Row],[Max Differences]]+ABS(Audit[[#This Row],[Canceled Differences]]), Audit[[#This Row],[Max Differences]]), 0)</f>
        <v>0</v>
      </c>
      <c r="AT156" s="114">
        <f>'Sampling Data'!AB156</f>
        <v>1.7697996333986474E-3</v>
      </c>
      <c r="AU156" s="114">
        <f>IF(
      SUM(Audit[[#This Row],[Audit Losing Candidate]:[Audit Candidate 12]])
      &lt;&gt;0,
      (Audit[[#This Row],[Winning Candidate]]-Audit[[#This Row],[Losing Candidate]]-(Audit[[#This Row],[Audit Winning Candidate]]-Audit[[#This Row],[Audit Losing Candidate]]))/(Audit[[#Totals],[Winning Candidate]]-Audit[[#Totals],[Losing Candidate]]),
      0
)</f>
        <v>0</v>
      </c>
      <c r="AV1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6" s="114">
        <f>IF(Audit[[#This Row],[Max Relative Error (ep)]] = 0, 0, Audit[[#This Row],[Max Relative Error (ep)]]/Audit[[#This Row],[Error Bound (up) - Max. possible relative overstatement]])</f>
        <v>0</v>
      </c>
      <c r="BH1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6" s="114">
        <f t="shared" si="3"/>
        <v>1</v>
      </c>
      <c r="BJ156" s="114">
        <f>PRODUCT($BI$5:BI156)</f>
        <v>0.20973752198051165</v>
      </c>
      <c r="BK156" s="112">
        <f>1 - Audit[[#This Row],[K-M P Value]]</f>
        <v>0.79026247801948835</v>
      </c>
      <c r="BL156" s="114" t="str">
        <f>IF(Audit[[#This Row],[K-M P Value]]&gt;1-'General Info'!$B$12,"Continue", "Stop")</f>
        <v>Continue</v>
      </c>
      <c r="BM156" s="113" t="b">
        <f>IF(Audit[[#This Row],[Status - Continue or stop audit]] = "Continue", TRUE, IF(BL155 = "Continue", TRUE, FALSE))</f>
        <v>1</v>
      </c>
      <c r="BN156" s="113"/>
    </row>
    <row r="157" spans="1:66" ht="15" hidden="1" customHeight="1" x14ac:dyDescent="0.35">
      <c r="A157" s="114" t="str">
        <f>'Sampling Data'!AI157</f>
        <v/>
      </c>
      <c r="B157" s="114" t="str">
        <f>'Sampling Data'!A157</f>
        <v>2403 CIN 24-C   (AV)</v>
      </c>
      <c r="C157" s="114">
        <f>'Sampling Data'!B157</f>
        <v>18</v>
      </c>
      <c r="D157" s="114">
        <f>'Sampling Data'!C157</f>
        <v>6</v>
      </c>
      <c r="E157" s="115">
        <f>'Sampling Data'!D157</f>
        <v>0</v>
      </c>
      <c r="F157" s="115">
        <f>'Sampling Data'!E157</f>
        <v>0</v>
      </c>
      <c r="G157" s="115">
        <f>'Sampling Data'!F157</f>
        <v>0</v>
      </c>
      <c r="H157" s="115">
        <f>'Sampling Data'!G157</f>
        <v>0</v>
      </c>
      <c r="I157" s="115">
        <f>'Sampling Data'!H157</f>
        <v>0</v>
      </c>
      <c r="J157" s="115">
        <f>'Sampling Data'!I157</f>
        <v>0</v>
      </c>
      <c r="K157" s="115">
        <f>'Sampling Data'!J157</f>
        <v>0</v>
      </c>
      <c r="L157" s="115">
        <f>'Sampling Data'!K157</f>
        <v>0</v>
      </c>
      <c r="M157" s="115">
        <f>'Sampling Data'!L157</f>
        <v>0</v>
      </c>
      <c r="N157" s="115">
        <f>'Sampling Data'!M157</f>
        <v>0</v>
      </c>
      <c r="O157" s="114">
        <f>'Sampling Data'!N157</f>
        <v>0</v>
      </c>
      <c r="P157" s="114">
        <f>'Sampling Data'!O157</f>
        <v>1</v>
      </c>
      <c r="Q157" s="114">
        <f>'Sampling Data'!P157</f>
        <v>25</v>
      </c>
      <c r="R157" s="114">
        <f>'Sampling Data'!AJ157</f>
        <v>0</v>
      </c>
      <c r="S157" s="116"/>
      <c r="T157" s="116"/>
      <c r="U157" s="117"/>
      <c r="V157" s="117"/>
      <c r="W157" s="116"/>
      <c r="X157" s="116"/>
      <c r="Y157" s="116"/>
      <c r="Z157" s="116"/>
      <c r="AA157" s="15"/>
      <c r="AB157" s="15"/>
      <c r="AC157" s="15"/>
      <c r="AD157" s="15"/>
      <c r="AE157" s="118" t="str">
        <f>IF(NOT(ISBLANK(Audit[[#This Row],[Audit Winning Candidate]])), Audit[[#This Row],[Audit Winning Candidate]]-Audit[[#This Row],[Winning Candidate]], "")</f>
        <v/>
      </c>
      <c r="AF157" s="114" t="str">
        <f>IF(NOT(ISBLANK(Audit[[#This Row],[Audit Losing Candidate]])), Audit[[#This Row],[Audit Losing Candidate]]-Audit[[#This Row],[Losing Candidate]], "")</f>
        <v/>
      </c>
      <c r="AG157" s="114" t="str">
        <f>IF(NOT(ISBLANK(Audit[[#This Row],[Audit Candidate 3]])), Audit[[#This Row],[Audit Candidate 3]]-Audit[[#This Row],[Candidate 3]], "")</f>
        <v/>
      </c>
      <c r="AH157" s="114" t="str">
        <f>IF(NOT(ISBLANK(Audit[[#This Row],[Audit Candidate 4]])),Audit[[#This Row],[Audit Candidate 4]]-Audit[[#This Row],[Candidate 4]], "")</f>
        <v/>
      </c>
      <c r="AI157" s="114" t="str">
        <f>IF(NOT(ISBLANK(Audit[[#This Row],[Audit Candidate 5]])), Audit[[#This Row],[Audit Candidate 5]]-Audit[[#This Row],[Candidate 5]], "")</f>
        <v/>
      </c>
      <c r="AJ157" s="114" t="str">
        <f>IF(NOT(ISBLANK(Audit[[#This Row],[Audit Candidate 6]])), Audit[[#This Row],[Audit Candidate 6]]-Audit[[#This Row],[Candidate 6]], "")</f>
        <v/>
      </c>
      <c r="AK157" s="114" t="str">
        <f>IF(NOT(ISBLANK(Audit[[#This Row],[Audit Candidate 7]])), Audit[[#This Row],[Audit Candidate 7]]-Audit[[#This Row],[Candidate 7]], "")</f>
        <v/>
      </c>
      <c r="AL157" s="114" t="str">
        <f>IF(NOT(ISBLANK(Audit[[#This Row],[Audit Candidate 8]])), Audit[[#This Row],[Audit Candidate 8]]-Audit[[#This Row],[Candidate 8]], "")</f>
        <v/>
      </c>
      <c r="AM157" s="114" t="str">
        <f>IF(NOT(ISBLANK(Audit[[#This Row],[Audit Candidate 9]])), Audit[[#This Row],[Audit Candidate 9]]-Audit[[#This Row],[Candidate 9]], "")</f>
        <v/>
      </c>
      <c r="AN157" s="114" t="str">
        <f>IF(NOT(ISBLANK(Audit[[#This Row],[Audit Candidate 10]])), Audit[[#This Row],[Audit Candidate 10]]-Audit[[#This Row],[Candidate 10]], "")</f>
        <v/>
      </c>
      <c r="AO157" s="114" t="str">
        <f>IF(NOT(ISBLANK(Audit[[#This Row],[Audit Candidate 11]])), Audit[[#This Row],[Audit Candidate 11]]-Audit[[#This Row],[Candidate 11]], "")</f>
        <v/>
      </c>
      <c r="AP157" s="114" t="str">
        <f>IF(NOT(ISBLANK(Audit[[#This Row],[Audit Candidate 12]])), Audit[[#This Row],[Audit Candidate 12]]-Audit[[#This Row],[Candidate 12]], "")</f>
        <v/>
      </c>
      <c r="AQ157" s="114">
        <f>SUMIF(Audit[[#This Row],[Difference Winner]:[Difference Candidate 12]], "&gt;0")</f>
        <v>0</v>
      </c>
      <c r="AR157" s="114">
        <f>SUM(Audit[[#This Row],[Difference Winner]:[Difference Candidate 12]])</f>
        <v>0</v>
      </c>
      <c r="AS157" s="114">
        <f>IF(Audit[[#This Row],[Times p Drawn - With Replacement]]&gt;0, IF(Audit[[#This Row],[Canceled Differences]]&lt;0, Audit[[#This Row],[Max Differences]]+ABS(Audit[[#This Row],[Canceled Differences]]), Audit[[#This Row],[Max Differences]]), 0)</f>
        <v>0</v>
      </c>
      <c r="AT157" s="114">
        <f>'Sampling Data'!AB157</f>
        <v>2.4271844660194173E-3</v>
      </c>
      <c r="AU157" s="114">
        <f>IF(
      SUM(Audit[[#This Row],[Audit Losing Candidate]:[Audit Candidate 12]])
      &lt;&gt;0,
      (Audit[[#This Row],[Winning Candidate]]-Audit[[#This Row],[Losing Candidate]]-(Audit[[#This Row],[Audit Winning Candidate]]-Audit[[#This Row],[Audit Losing Candidate]]))/(Audit[[#Totals],[Winning Candidate]]-Audit[[#Totals],[Losing Candidate]]),
      0
)</f>
        <v>0</v>
      </c>
      <c r="AV1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7" s="114">
        <f>IF(Audit[[#This Row],[Max Relative Error (ep)]] = 0, 0, Audit[[#This Row],[Max Relative Error (ep)]]/Audit[[#This Row],[Error Bound (up) - Max. possible relative overstatement]])</f>
        <v>0</v>
      </c>
      <c r="BH1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7" s="114">
        <f t="shared" si="3"/>
        <v>1</v>
      </c>
      <c r="BJ157" s="114">
        <f>PRODUCT($BI$5:BI157)</f>
        <v>0.20973752198051165</v>
      </c>
      <c r="BK157" s="112">
        <f>1 - Audit[[#This Row],[K-M P Value]]</f>
        <v>0.79026247801948835</v>
      </c>
      <c r="BL157" s="114" t="str">
        <f>IF(Audit[[#This Row],[K-M P Value]]&gt;1-'General Info'!$B$12,"Continue", "Stop")</f>
        <v>Continue</v>
      </c>
      <c r="BM157" s="113" t="b">
        <f>IF(Audit[[#This Row],[Status - Continue or stop audit]] = "Continue", TRUE, IF(BL156 = "Continue", TRUE, FALSE))</f>
        <v>1</v>
      </c>
      <c r="BN157" s="113"/>
    </row>
    <row r="158" spans="1:66" ht="15" hidden="1" customHeight="1" x14ac:dyDescent="0.35">
      <c r="A158" s="114" t="str">
        <f>'Sampling Data'!AI158</f>
        <v/>
      </c>
      <c r="B158" s="114" t="str">
        <f>'Sampling Data'!A158</f>
        <v>2404 CIN 24-D   (AV)</v>
      </c>
      <c r="C158" s="114">
        <f>'Sampling Data'!B158</f>
        <v>13</v>
      </c>
      <c r="D158" s="114">
        <f>'Sampling Data'!C158</f>
        <v>4</v>
      </c>
      <c r="E158" s="115">
        <f>'Sampling Data'!D158</f>
        <v>0</v>
      </c>
      <c r="F158" s="115">
        <f>'Sampling Data'!E158</f>
        <v>0</v>
      </c>
      <c r="G158" s="115">
        <f>'Sampling Data'!F158</f>
        <v>0</v>
      </c>
      <c r="H158" s="115">
        <f>'Sampling Data'!G158</f>
        <v>0</v>
      </c>
      <c r="I158" s="115">
        <f>'Sampling Data'!H158</f>
        <v>0</v>
      </c>
      <c r="J158" s="115">
        <f>'Sampling Data'!I158</f>
        <v>0</v>
      </c>
      <c r="K158" s="115">
        <f>'Sampling Data'!J158</f>
        <v>0</v>
      </c>
      <c r="L158" s="115">
        <f>'Sampling Data'!K158</f>
        <v>0</v>
      </c>
      <c r="M158" s="115">
        <f>'Sampling Data'!L158</f>
        <v>0</v>
      </c>
      <c r="N158" s="115">
        <f>'Sampling Data'!M158</f>
        <v>0</v>
      </c>
      <c r="O158" s="114">
        <f>'Sampling Data'!N158</f>
        <v>0</v>
      </c>
      <c r="P158" s="114">
        <f>'Sampling Data'!O158</f>
        <v>0</v>
      </c>
      <c r="Q158" s="114">
        <f>'Sampling Data'!P158</f>
        <v>17</v>
      </c>
      <c r="R158" s="114">
        <f>'Sampling Data'!AJ158</f>
        <v>0</v>
      </c>
      <c r="S158" s="116"/>
      <c r="T158" s="116"/>
      <c r="U158" s="117"/>
      <c r="V158" s="117"/>
      <c r="W158" s="116"/>
      <c r="X158" s="116"/>
      <c r="Y158" s="116"/>
      <c r="Z158" s="116"/>
      <c r="AA158" s="15"/>
      <c r="AB158" s="15"/>
      <c r="AC158" s="15"/>
      <c r="AD158" s="15"/>
      <c r="AE158" s="118" t="str">
        <f>IF(NOT(ISBLANK(Audit[[#This Row],[Audit Winning Candidate]])), Audit[[#This Row],[Audit Winning Candidate]]-Audit[[#This Row],[Winning Candidate]], "")</f>
        <v/>
      </c>
      <c r="AF158" s="114" t="str">
        <f>IF(NOT(ISBLANK(Audit[[#This Row],[Audit Losing Candidate]])), Audit[[#This Row],[Audit Losing Candidate]]-Audit[[#This Row],[Losing Candidate]], "")</f>
        <v/>
      </c>
      <c r="AG158" s="114" t="str">
        <f>IF(NOT(ISBLANK(Audit[[#This Row],[Audit Candidate 3]])), Audit[[#This Row],[Audit Candidate 3]]-Audit[[#This Row],[Candidate 3]], "")</f>
        <v/>
      </c>
      <c r="AH158" s="114" t="str">
        <f>IF(NOT(ISBLANK(Audit[[#This Row],[Audit Candidate 4]])),Audit[[#This Row],[Audit Candidate 4]]-Audit[[#This Row],[Candidate 4]], "")</f>
        <v/>
      </c>
      <c r="AI158" s="114" t="str">
        <f>IF(NOT(ISBLANK(Audit[[#This Row],[Audit Candidate 5]])), Audit[[#This Row],[Audit Candidate 5]]-Audit[[#This Row],[Candidate 5]], "")</f>
        <v/>
      </c>
      <c r="AJ158" s="114" t="str">
        <f>IF(NOT(ISBLANK(Audit[[#This Row],[Audit Candidate 6]])), Audit[[#This Row],[Audit Candidate 6]]-Audit[[#This Row],[Candidate 6]], "")</f>
        <v/>
      </c>
      <c r="AK158" s="114" t="str">
        <f>IF(NOT(ISBLANK(Audit[[#This Row],[Audit Candidate 7]])), Audit[[#This Row],[Audit Candidate 7]]-Audit[[#This Row],[Candidate 7]], "")</f>
        <v/>
      </c>
      <c r="AL158" s="114" t="str">
        <f>IF(NOT(ISBLANK(Audit[[#This Row],[Audit Candidate 8]])), Audit[[#This Row],[Audit Candidate 8]]-Audit[[#This Row],[Candidate 8]], "")</f>
        <v/>
      </c>
      <c r="AM158" s="114" t="str">
        <f>IF(NOT(ISBLANK(Audit[[#This Row],[Audit Candidate 9]])), Audit[[#This Row],[Audit Candidate 9]]-Audit[[#This Row],[Candidate 9]], "")</f>
        <v/>
      </c>
      <c r="AN158" s="114" t="str">
        <f>IF(NOT(ISBLANK(Audit[[#This Row],[Audit Candidate 10]])), Audit[[#This Row],[Audit Candidate 10]]-Audit[[#This Row],[Candidate 10]], "")</f>
        <v/>
      </c>
      <c r="AO158" s="114" t="str">
        <f>IF(NOT(ISBLANK(Audit[[#This Row],[Audit Candidate 11]])), Audit[[#This Row],[Audit Candidate 11]]-Audit[[#This Row],[Candidate 11]], "")</f>
        <v/>
      </c>
      <c r="AP158" s="114" t="str">
        <f>IF(NOT(ISBLANK(Audit[[#This Row],[Audit Candidate 12]])), Audit[[#This Row],[Audit Candidate 12]]-Audit[[#This Row],[Candidate 12]], "")</f>
        <v/>
      </c>
      <c r="AQ158" s="114">
        <f>SUMIF(Audit[[#This Row],[Difference Winner]:[Difference Candidate 12]], "&gt;0")</f>
        <v>0</v>
      </c>
      <c r="AR158" s="114">
        <f>SUM(Audit[[#This Row],[Difference Winner]:[Difference Candidate 12]])</f>
        <v>0</v>
      </c>
      <c r="AS158" s="114">
        <f>IF(Audit[[#This Row],[Times p Drawn - With Replacement]]&gt;0, IF(Audit[[#This Row],[Canceled Differences]]&lt;0, Audit[[#This Row],[Max Differences]]+ABS(Audit[[#This Row],[Canceled Differences]]), Audit[[#This Row],[Max Differences]]), 0)</f>
        <v>0</v>
      </c>
      <c r="AT158" s="114">
        <f>'Sampling Data'!AB158</f>
        <v>1.6933845111763378E-3</v>
      </c>
      <c r="AU158" s="114">
        <f>IF(
      SUM(Audit[[#This Row],[Audit Losing Candidate]:[Audit Candidate 12]])
      &lt;&gt;0,
      (Audit[[#This Row],[Winning Candidate]]-Audit[[#This Row],[Losing Candidate]]-(Audit[[#This Row],[Audit Winning Candidate]]-Audit[[#This Row],[Audit Losing Candidate]]))/(Audit[[#Totals],[Winning Candidate]]-Audit[[#Totals],[Losing Candidate]]),
      0
)</f>
        <v>0</v>
      </c>
      <c r="AV1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8" s="114">
        <f>IF(Audit[[#This Row],[Max Relative Error (ep)]] = 0, 0, Audit[[#This Row],[Max Relative Error (ep)]]/Audit[[#This Row],[Error Bound (up) - Max. possible relative overstatement]])</f>
        <v>0</v>
      </c>
      <c r="BH1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8" s="114">
        <f t="shared" si="3"/>
        <v>1</v>
      </c>
      <c r="BJ158" s="114">
        <f>PRODUCT($BI$5:BI158)</f>
        <v>0.20973752198051165</v>
      </c>
      <c r="BK158" s="112">
        <f>1 - Audit[[#This Row],[K-M P Value]]</f>
        <v>0.79026247801948835</v>
      </c>
      <c r="BL158" s="114" t="str">
        <f>IF(Audit[[#This Row],[K-M P Value]]&gt;1-'General Info'!$B$12,"Continue", "Stop")</f>
        <v>Continue</v>
      </c>
      <c r="BM158" s="113" t="b">
        <f>IF(Audit[[#This Row],[Status - Continue or stop audit]] = "Continue", TRUE, IF(BL157 = "Continue", TRUE, FALSE))</f>
        <v>1</v>
      </c>
      <c r="BN158" s="113"/>
    </row>
    <row r="159" spans="1:66" ht="15" hidden="1" customHeight="1" x14ac:dyDescent="0.35">
      <c r="A159" s="114" t="str">
        <f>'Sampling Data'!AI159</f>
        <v/>
      </c>
      <c r="B159" s="114" t="str">
        <f>'Sampling Data'!A159</f>
        <v>2405 CIN 24-E   (AV)</v>
      </c>
      <c r="C159" s="114">
        <f>'Sampling Data'!B159</f>
        <v>0</v>
      </c>
      <c r="D159" s="114">
        <f>'Sampling Data'!C159</f>
        <v>0</v>
      </c>
      <c r="E159" s="115">
        <f>'Sampling Data'!D159</f>
        <v>0</v>
      </c>
      <c r="F159" s="115">
        <f>'Sampling Data'!E159</f>
        <v>0</v>
      </c>
      <c r="G159" s="115">
        <f>'Sampling Data'!F159</f>
        <v>0</v>
      </c>
      <c r="H159" s="115">
        <f>'Sampling Data'!G159</f>
        <v>0</v>
      </c>
      <c r="I159" s="115">
        <f>'Sampling Data'!H159</f>
        <v>0</v>
      </c>
      <c r="J159" s="115">
        <f>'Sampling Data'!I159</f>
        <v>0</v>
      </c>
      <c r="K159" s="115">
        <f>'Sampling Data'!J159</f>
        <v>0</v>
      </c>
      <c r="L159" s="115">
        <f>'Sampling Data'!K159</f>
        <v>0</v>
      </c>
      <c r="M159" s="115">
        <f>'Sampling Data'!L159</f>
        <v>0</v>
      </c>
      <c r="N159" s="115">
        <f>'Sampling Data'!M159</f>
        <v>0</v>
      </c>
      <c r="O159" s="114">
        <f>'Sampling Data'!N159</f>
        <v>0</v>
      </c>
      <c r="P159" s="114">
        <f>'Sampling Data'!O159</f>
        <v>0</v>
      </c>
      <c r="Q159" s="114">
        <f>'Sampling Data'!P159</f>
        <v>0</v>
      </c>
      <c r="R159" s="114">
        <f>'Sampling Data'!AJ159</f>
        <v>0</v>
      </c>
      <c r="S159" s="116"/>
      <c r="T159" s="116"/>
      <c r="U159" s="117"/>
      <c r="V159" s="117"/>
      <c r="W159" s="116"/>
      <c r="X159" s="116"/>
      <c r="Y159" s="116"/>
      <c r="Z159" s="116"/>
      <c r="AA159" s="15"/>
      <c r="AB159" s="15"/>
      <c r="AC159" s="15"/>
      <c r="AD159" s="15"/>
      <c r="AE159" s="118" t="str">
        <f>IF(NOT(ISBLANK(Audit[[#This Row],[Audit Winning Candidate]])), Audit[[#This Row],[Audit Winning Candidate]]-Audit[[#This Row],[Winning Candidate]], "")</f>
        <v/>
      </c>
      <c r="AF159" s="114" t="str">
        <f>IF(NOT(ISBLANK(Audit[[#This Row],[Audit Losing Candidate]])), Audit[[#This Row],[Audit Losing Candidate]]-Audit[[#This Row],[Losing Candidate]], "")</f>
        <v/>
      </c>
      <c r="AG159" s="114" t="str">
        <f>IF(NOT(ISBLANK(Audit[[#This Row],[Audit Candidate 3]])), Audit[[#This Row],[Audit Candidate 3]]-Audit[[#This Row],[Candidate 3]], "")</f>
        <v/>
      </c>
      <c r="AH159" s="114" t="str">
        <f>IF(NOT(ISBLANK(Audit[[#This Row],[Audit Candidate 4]])),Audit[[#This Row],[Audit Candidate 4]]-Audit[[#This Row],[Candidate 4]], "")</f>
        <v/>
      </c>
      <c r="AI159" s="114" t="str">
        <f>IF(NOT(ISBLANK(Audit[[#This Row],[Audit Candidate 5]])), Audit[[#This Row],[Audit Candidate 5]]-Audit[[#This Row],[Candidate 5]], "")</f>
        <v/>
      </c>
      <c r="AJ159" s="114" t="str">
        <f>IF(NOT(ISBLANK(Audit[[#This Row],[Audit Candidate 6]])), Audit[[#This Row],[Audit Candidate 6]]-Audit[[#This Row],[Candidate 6]], "")</f>
        <v/>
      </c>
      <c r="AK159" s="114" t="str">
        <f>IF(NOT(ISBLANK(Audit[[#This Row],[Audit Candidate 7]])), Audit[[#This Row],[Audit Candidate 7]]-Audit[[#This Row],[Candidate 7]], "")</f>
        <v/>
      </c>
      <c r="AL159" s="114" t="str">
        <f>IF(NOT(ISBLANK(Audit[[#This Row],[Audit Candidate 8]])), Audit[[#This Row],[Audit Candidate 8]]-Audit[[#This Row],[Candidate 8]], "")</f>
        <v/>
      </c>
      <c r="AM159" s="114" t="str">
        <f>IF(NOT(ISBLANK(Audit[[#This Row],[Audit Candidate 9]])), Audit[[#This Row],[Audit Candidate 9]]-Audit[[#This Row],[Candidate 9]], "")</f>
        <v/>
      </c>
      <c r="AN159" s="114" t="str">
        <f>IF(NOT(ISBLANK(Audit[[#This Row],[Audit Candidate 10]])), Audit[[#This Row],[Audit Candidate 10]]-Audit[[#This Row],[Candidate 10]], "")</f>
        <v/>
      </c>
      <c r="AO159" s="114" t="str">
        <f>IF(NOT(ISBLANK(Audit[[#This Row],[Audit Candidate 11]])), Audit[[#This Row],[Audit Candidate 11]]-Audit[[#This Row],[Candidate 11]], "")</f>
        <v/>
      </c>
      <c r="AP159" s="114" t="str">
        <f>IF(NOT(ISBLANK(Audit[[#This Row],[Audit Candidate 12]])), Audit[[#This Row],[Audit Candidate 12]]-Audit[[#This Row],[Candidate 12]], "")</f>
        <v/>
      </c>
      <c r="AQ159" s="114">
        <f>SUMIF(Audit[[#This Row],[Difference Winner]:[Difference Candidate 12]], "&gt;0")</f>
        <v>0</v>
      </c>
      <c r="AR159" s="114">
        <f>SUM(Audit[[#This Row],[Difference Winner]:[Difference Candidate 12]])</f>
        <v>0</v>
      </c>
      <c r="AS159" s="114">
        <f>IF(Audit[[#This Row],[Times p Drawn - With Replacement]]&gt;0, IF(Audit[[#This Row],[Canceled Differences]]&lt;0, Audit[[#This Row],[Max Differences]]+ABS(Audit[[#This Row],[Canceled Differences]]), Audit[[#This Row],[Max Differences]]), 0)</f>
        <v>0</v>
      </c>
      <c r="AT159" s="114">
        <f>'Sampling Data'!AB159</f>
        <v>0</v>
      </c>
      <c r="AU159" s="114">
        <f>IF(
      SUM(Audit[[#This Row],[Audit Losing Candidate]:[Audit Candidate 12]])
      &lt;&gt;0,
      (Audit[[#This Row],[Winning Candidate]]-Audit[[#This Row],[Losing Candidate]]-(Audit[[#This Row],[Audit Winning Candidate]]-Audit[[#This Row],[Audit Losing Candidate]]))/(Audit[[#Totals],[Winning Candidate]]-Audit[[#Totals],[Losing Candidate]]),
      0
)</f>
        <v>0</v>
      </c>
      <c r="AV1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9" s="114">
        <f>IF(Audit[[#This Row],[Max Relative Error (ep)]] = 0, 0, Audit[[#This Row],[Max Relative Error (ep)]]/Audit[[#This Row],[Error Bound (up) - Max. possible relative overstatement]])</f>
        <v>0</v>
      </c>
      <c r="BH1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59" s="114">
        <f t="shared" si="3"/>
        <v>1</v>
      </c>
      <c r="BJ159" s="114">
        <f>PRODUCT($BI$5:BI159)</f>
        <v>0.20973752198051165</v>
      </c>
      <c r="BK159" s="112">
        <f>1 - Audit[[#This Row],[K-M P Value]]</f>
        <v>0.79026247801948835</v>
      </c>
      <c r="BL159" s="114" t="str">
        <f>IF(Audit[[#This Row],[K-M P Value]]&gt;1-'General Info'!$B$12,"Continue", "Stop")</f>
        <v>Continue</v>
      </c>
      <c r="BM159" s="113" t="b">
        <f>IF(Audit[[#This Row],[Status - Continue or stop audit]] = "Continue", TRUE, IF(BL158 = "Continue", TRUE, FALSE))</f>
        <v>1</v>
      </c>
      <c r="BN159" s="113"/>
    </row>
    <row r="160" spans="1:66" ht="15" hidden="1" customHeight="1" x14ac:dyDescent="0.35">
      <c r="A160" s="114" t="str">
        <f>'Sampling Data'!AI160</f>
        <v/>
      </c>
      <c r="B160" s="114" t="str">
        <f>'Sampling Data'!A160</f>
        <v>2406 CIN 24-F   (AV)</v>
      </c>
      <c r="C160" s="114">
        <f>'Sampling Data'!B160</f>
        <v>22</v>
      </c>
      <c r="D160" s="114">
        <f>'Sampling Data'!C160</f>
        <v>0</v>
      </c>
      <c r="E160" s="115">
        <f>'Sampling Data'!D160</f>
        <v>0</v>
      </c>
      <c r="F160" s="115">
        <f>'Sampling Data'!E160</f>
        <v>0</v>
      </c>
      <c r="G160" s="115">
        <f>'Sampling Data'!F160</f>
        <v>0</v>
      </c>
      <c r="H160" s="115">
        <f>'Sampling Data'!G160</f>
        <v>0</v>
      </c>
      <c r="I160" s="115">
        <f>'Sampling Data'!H160</f>
        <v>0</v>
      </c>
      <c r="J160" s="115">
        <f>'Sampling Data'!I160</f>
        <v>0</v>
      </c>
      <c r="K160" s="115">
        <f>'Sampling Data'!J160</f>
        <v>0</v>
      </c>
      <c r="L160" s="115">
        <f>'Sampling Data'!K160</f>
        <v>0</v>
      </c>
      <c r="M160" s="115">
        <f>'Sampling Data'!L160</f>
        <v>0</v>
      </c>
      <c r="N160" s="115">
        <f>'Sampling Data'!M160</f>
        <v>0</v>
      </c>
      <c r="O160" s="114">
        <f>'Sampling Data'!N160</f>
        <v>0</v>
      </c>
      <c r="P160" s="114">
        <f>'Sampling Data'!O160</f>
        <v>0</v>
      </c>
      <c r="Q160" s="114">
        <f>'Sampling Data'!P160</f>
        <v>22</v>
      </c>
      <c r="R160" s="114">
        <f>'Sampling Data'!AJ160</f>
        <v>0</v>
      </c>
      <c r="S160" s="116"/>
      <c r="T160" s="116"/>
      <c r="U160" s="117"/>
      <c r="V160" s="117"/>
      <c r="W160" s="116"/>
      <c r="X160" s="116"/>
      <c r="Y160" s="116"/>
      <c r="Z160" s="116"/>
      <c r="AA160" s="15"/>
      <c r="AB160" s="15"/>
      <c r="AC160" s="15"/>
      <c r="AD160" s="15"/>
      <c r="AE160" s="118" t="str">
        <f>IF(NOT(ISBLANK(Audit[[#This Row],[Audit Winning Candidate]])), Audit[[#This Row],[Audit Winning Candidate]]-Audit[[#This Row],[Winning Candidate]], "")</f>
        <v/>
      </c>
      <c r="AF160" s="114" t="str">
        <f>IF(NOT(ISBLANK(Audit[[#This Row],[Audit Losing Candidate]])), Audit[[#This Row],[Audit Losing Candidate]]-Audit[[#This Row],[Losing Candidate]], "")</f>
        <v/>
      </c>
      <c r="AG160" s="114" t="str">
        <f>IF(NOT(ISBLANK(Audit[[#This Row],[Audit Candidate 3]])), Audit[[#This Row],[Audit Candidate 3]]-Audit[[#This Row],[Candidate 3]], "")</f>
        <v/>
      </c>
      <c r="AH160" s="114" t="str">
        <f>IF(NOT(ISBLANK(Audit[[#This Row],[Audit Candidate 4]])),Audit[[#This Row],[Audit Candidate 4]]-Audit[[#This Row],[Candidate 4]], "")</f>
        <v/>
      </c>
      <c r="AI160" s="114" t="str">
        <f>IF(NOT(ISBLANK(Audit[[#This Row],[Audit Candidate 5]])), Audit[[#This Row],[Audit Candidate 5]]-Audit[[#This Row],[Candidate 5]], "")</f>
        <v/>
      </c>
      <c r="AJ160" s="114" t="str">
        <f>IF(NOT(ISBLANK(Audit[[#This Row],[Audit Candidate 6]])), Audit[[#This Row],[Audit Candidate 6]]-Audit[[#This Row],[Candidate 6]], "")</f>
        <v/>
      </c>
      <c r="AK160" s="114" t="str">
        <f>IF(NOT(ISBLANK(Audit[[#This Row],[Audit Candidate 7]])), Audit[[#This Row],[Audit Candidate 7]]-Audit[[#This Row],[Candidate 7]], "")</f>
        <v/>
      </c>
      <c r="AL160" s="114" t="str">
        <f>IF(NOT(ISBLANK(Audit[[#This Row],[Audit Candidate 8]])), Audit[[#This Row],[Audit Candidate 8]]-Audit[[#This Row],[Candidate 8]], "")</f>
        <v/>
      </c>
      <c r="AM160" s="114" t="str">
        <f>IF(NOT(ISBLANK(Audit[[#This Row],[Audit Candidate 9]])), Audit[[#This Row],[Audit Candidate 9]]-Audit[[#This Row],[Candidate 9]], "")</f>
        <v/>
      </c>
      <c r="AN160" s="114" t="str">
        <f>IF(NOT(ISBLANK(Audit[[#This Row],[Audit Candidate 10]])), Audit[[#This Row],[Audit Candidate 10]]-Audit[[#This Row],[Candidate 10]], "")</f>
        <v/>
      </c>
      <c r="AO160" s="114" t="str">
        <f>IF(NOT(ISBLANK(Audit[[#This Row],[Audit Candidate 11]])), Audit[[#This Row],[Audit Candidate 11]]-Audit[[#This Row],[Candidate 11]], "")</f>
        <v/>
      </c>
      <c r="AP160" s="114" t="str">
        <f>IF(NOT(ISBLANK(Audit[[#This Row],[Audit Candidate 12]])), Audit[[#This Row],[Audit Candidate 12]]-Audit[[#This Row],[Candidate 12]], "")</f>
        <v/>
      </c>
      <c r="AQ160" s="114">
        <f>SUMIF(Audit[[#This Row],[Difference Winner]:[Difference Candidate 12]], "&gt;0")</f>
        <v>0</v>
      </c>
      <c r="AR160" s="114">
        <f>SUM(Audit[[#This Row],[Difference Winner]:[Difference Candidate 12]])</f>
        <v>0</v>
      </c>
      <c r="AS160" s="114">
        <f>IF(Audit[[#This Row],[Times p Drawn - With Replacement]]&gt;0, IF(Audit[[#This Row],[Canceled Differences]]&lt;0, Audit[[#This Row],[Max Differences]]+ABS(Audit[[#This Row],[Canceled Differences]]), Audit[[#This Row],[Max Differences]]), 0)</f>
        <v>0</v>
      </c>
      <c r="AT160" s="114">
        <f>'Sampling Data'!AB160</f>
        <v>2.7811137096264457E-3</v>
      </c>
      <c r="AU160" s="114">
        <f>IF(
      SUM(Audit[[#This Row],[Audit Losing Candidate]:[Audit Candidate 12]])
      &lt;&gt;0,
      (Audit[[#This Row],[Winning Candidate]]-Audit[[#This Row],[Losing Candidate]]-(Audit[[#This Row],[Audit Winning Candidate]]-Audit[[#This Row],[Audit Losing Candidate]]))/(Audit[[#Totals],[Winning Candidate]]-Audit[[#Totals],[Losing Candidate]]),
      0
)</f>
        <v>0</v>
      </c>
      <c r="AV1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0" s="114">
        <f>IF(Audit[[#This Row],[Max Relative Error (ep)]] = 0, 0, Audit[[#This Row],[Max Relative Error (ep)]]/Audit[[#This Row],[Error Bound (up) - Max. possible relative overstatement]])</f>
        <v>0</v>
      </c>
      <c r="BH1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0" s="114">
        <f t="shared" si="3"/>
        <v>1</v>
      </c>
      <c r="BJ160" s="114">
        <f>PRODUCT($BI$5:BI160)</f>
        <v>0.20973752198051165</v>
      </c>
      <c r="BK160" s="112">
        <f>1 - Audit[[#This Row],[K-M P Value]]</f>
        <v>0.79026247801948835</v>
      </c>
      <c r="BL160" s="114" t="str">
        <f>IF(Audit[[#This Row],[K-M P Value]]&gt;1-'General Info'!$B$12,"Continue", "Stop")</f>
        <v>Continue</v>
      </c>
      <c r="BM160" s="113" t="b">
        <f>IF(Audit[[#This Row],[Status - Continue or stop audit]] = "Continue", TRUE, IF(BL159 = "Continue", TRUE, FALSE))</f>
        <v>1</v>
      </c>
      <c r="BN160" s="113"/>
    </row>
    <row r="161" spans="1:66" ht="15" hidden="1" customHeight="1" x14ac:dyDescent="0.35">
      <c r="A161" s="114" t="str">
        <f>'Sampling Data'!AI161</f>
        <v/>
      </c>
      <c r="B161" s="114" t="str">
        <f>'Sampling Data'!A161</f>
        <v>2407 CIN 24-G   (AV)</v>
      </c>
      <c r="C161" s="114">
        <f>'Sampling Data'!B161</f>
        <v>7</v>
      </c>
      <c r="D161" s="114">
        <f>'Sampling Data'!C161</f>
        <v>0</v>
      </c>
      <c r="E161" s="115">
        <f>'Sampling Data'!D161</f>
        <v>4</v>
      </c>
      <c r="F161" s="115">
        <f>'Sampling Data'!E161</f>
        <v>0</v>
      </c>
      <c r="G161" s="115">
        <f>'Sampling Data'!F161</f>
        <v>0</v>
      </c>
      <c r="H161" s="115">
        <f>'Sampling Data'!G161</f>
        <v>0</v>
      </c>
      <c r="I161" s="115">
        <f>'Sampling Data'!H161</f>
        <v>0</v>
      </c>
      <c r="J161" s="115">
        <f>'Sampling Data'!I161</f>
        <v>0</v>
      </c>
      <c r="K161" s="115">
        <f>'Sampling Data'!J161</f>
        <v>0</v>
      </c>
      <c r="L161" s="115">
        <f>'Sampling Data'!K161</f>
        <v>0</v>
      </c>
      <c r="M161" s="115">
        <f>'Sampling Data'!L161</f>
        <v>0</v>
      </c>
      <c r="N161" s="115">
        <f>'Sampling Data'!M161</f>
        <v>0</v>
      </c>
      <c r="O161" s="114">
        <f>'Sampling Data'!N161</f>
        <v>0</v>
      </c>
      <c r="P161" s="114">
        <f>'Sampling Data'!O161</f>
        <v>0</v>
      </c>
      <c r="Q161" s="114">
        <f>'Sampling Data'!P161</f>
        <v>11</v>
      </c>
      <c r="R161" s="114">
        <f>'Sampling Data'!AJ161</f>
        <v>0</v>
      </c>
      <c r="S161" s="116"/>
      <c r="T161" s="116"/>
      <c r="U161" s="117"/>
      <c r="V161" s="117"/>
      <c r="W161" s="116"/>
      <c r="X161" s="116"/>
      <c r="Y161" s="116"/>
      <c r="Z161" s="116"/>
      <c r="AA161" s="15"/>
      <c r="AB161" s="15"/>
      <c r="AC161" s="15"/>
      <c r="AD161" s="15"/>
      <c r="AE161" s="118" t="str">
        <f>IF(NOT(ISBLANK(Audit[[#This Row],[Audit Winning Candidate]])), Audit[[#This Row],[Audit Winning Candidate]]-Audit[[#This Row],[Winning Candidate]], "")</f>
        <v/>
      </c>
      <c r="AF161" s="114" t="str">
        <f>IF(NOT(ISBLANK(Audit[[#This Row],[Audit Losing Candidate]])), Audit[[#This Row],[Audit Losing Candidate]]-Audit[[#This Row],[Losing Candidate]], "")</f>
        <v/>
      </c>
      <c r="AG161" s="114" t="str">
        <f>IF(NOT(ISBLANK(Audit[[#This Row],[Audit Candidate 3]])), Audit[[#This Row],[Audit Candidate 3]]-Audit[[#This Row],[Candidate 3]], "")</f>
        <v/>
      </c>
      <c r="AH161" s="114" t="str">
        <f>IF(NOT(ISBLANK(Audit[[#This Row],[Audit Candidate 4]])),Audit[[#This Row],[Audit Candidate 4]]-Audit[[#This Row],[Candidate 4]], "")</f>
        <v/>
      </c>
      <c r="AI161" s="114" t="str">
        <f>IF(NOT(ISBLANK(Audit[[#This Row],[Audit Candidate 5]])), Audit[[#This Row],[Audit Candidate 5]]-Audit[[#This Row],[Candidate 5]], "")</f>
        <v/>
      </c>
      <c r="AJ161" s="114" t="str">
        <f>IF(NOT(ISBLANK(Audit[[#This Row],[Audit Candidate 6]])), Audit[[#This Row],[Audit Candidate 6]]-Audit[[#This Row],[Candidate 6]], "")</f>
        <v/>
      </c>
      <c r="AK161" s="114" t="str">
        <f>IF(NOT(ISBLANK(Audit[[#This Row],[Audit Candidate 7]])), Audit[[#This Row],[Audit Candidate 7]]-Audit[[#This Row],[Candidate 7]], "")</f>
        <v/>
      </c>
      <c r="AL161" s="114" t="str">
        <f>IF(NOT(ISBLANK(Audit[[#This Row],[Audit Candidate 8]])), Audit[[#This Row],[Audit Candidate 8]]-Audit[[#This Row],[Candidate 8]], "")</f>
        <v/>
      </c>
      <c r="AM161" s="114" t="str">
        <f>IF(NOT(ISBLANK(Audit[[#This Row],[Audit Candidate 9]])), Audit[[#This Row],[Audit Candidate 9]]-Audit[[#This Row],[Candidate 9]], "")</f>
        <v/>
      </c>
      <c r="AN161" s="114" t="str">
        <f>IF(NOT(ISBLANK(Audit[[#This Row],[Audit Candidate 10]])), Audit[[#This Row],[Audit Candidate 10]]-Audit[[#This Row],[Candidate 10]], "")</f>
        <v/>
      </c>
      <c r="AO161" s="114" t="str">
        <f>IF(NOT(ISBLANK(Audit[[#This Row],[Audit Candidate 11]])), Audit[[#This Row],[Audit Candidate 11]]-Audit[[#This Row],[Candidate 11]], "")</f>
        <v/>
      </c>
      <c r="AP161" s="114" t="str">
        <f>IF(NOT(ISBLANK(Audit[[#This Row],[Audit Candidate 12]])), Audit[[#This Row],[Audit Candidate 12]]-Audit[[#This Row],[Candidate 12]], "")</f>
        <v/>
      </c>
      <c r="AQ161" s="114">
        <f>SUMIF(Audit[[#This Row],[Difference Winner]:[Difference Candidate 12]], "&gt;0")</f>
        <v>0</v>
      </c>
      <c r="AR161" s="114">
        <f>SUM(Audit[[#This Row],[Difference Winner]:[Difference Candidate 12]])</f>
        <v>0</v>
      </c>
      <c r="AS161" s="114">
        <f>IF(Audit[[#This Row],[Times p Drawn - With Replacement]]&gt;0, IF(Audit[[#This Row],[Canceled Differences]]&lt;0, Audit[[#This Row],[Max Differences]]+ABS(Audit[[#This Row],[Canceled Differences]]), Audit[[#This Row],[Max Differences]]), 0)</f>
        <v>0</v>
      </c>
      <c r="AT161" s="114">
        <f>'Sampling Data'!AB161</f>
        <v>1.1377283357562732E-3</v>
      </c>
      <c r="AU161" s="114">
        <f>IF(
      SUM(Audit[[#This Row],[Audit Losing Candidate]:[Audit Candidate 12]])
      &lt;&gt;0,
      (Audit[[#This Row],[Winning Candidate]]-Audit[[#This Row],[Losing Candidate]]-(Audit[[#This Row],[Audit Winning Candidate]]-Audit[[#This Row],[Audit Losing Candidate]]))/(Audit[[#Totals],[Winning Candidate]]-Audit[[#Totals],[Losing Candidate]]),
      0
)</f>
        <v>0</v>
      </c>
      <c r="AV1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1" s="114">
        <f>IF(Audit[[#This Row],[Max Relative Error (ep)]] = 0, 0, Audit[[#This Row],[Max Relative Error (ep)]]/Audit[[#This Row],[Error Bound (up) - Max. possible relative overstatement]])</f>
        <v>0</v>
      </c>
      <c r="BH1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1" s="114">
        <f t="shared" si="3"/>
        <v>1</v>
      </c>
      <c r="BJ161" s="114">
        <f>PRODUCT($BI$5:BI161)</f>
        <v>0.20973752198051165</v>
      </c>
      <c r="BK161" s="112">
        <f>1 - Audit[[#This Row],[K-M P Value]]</f>
        <v>0.79026247801948835</v>
      </c>
      <c r="BL161" s="114" t="str">
        <f>IF(Audit[[#This Row],[K-M P Value]]&gt;1-'General Info'!$B$12,"Continue", "Stop")</f>
        <v>Continue</v>
      </c>
      <c r="BM161" s="113" t="b">
        <f>IF(Audit[[#This Row],[Status - Continue or stop audit]] = "Continue", TRUE, IF(BL160 = "Continue", TRUE, FALSE))</f>
        <v>1</v>
      </c>
      <c r="BN161" s="113"/>
    </row>
    <row r="162" spans="1:66" ht="15" hidden="1" customHeight="1" x14ac:dyDescent="0.35">
      <c r="A162" s="114" t="str">
        <f>'Sampling Data'!AI162</f>
        <v/>
      </c>
      <c r="B162" s="114" t="str">
        <f>'Sampling Data'!A162</f>
        <v>2408 CIN 24-H   (AV)</v>
      </c>
      <c r="C162" s="114">
        <f>'Sampling Data'!B162</f>
        <v>0</v>
      </c>
      <c r="D162" s="114">
        <f>'Sampling Data'!C162</f>
        <v>0</v>
      </c>
      <c r="E162" s="115">
        <f>'Sampling Data'!D162</f>
        <v>0</v>
      </c>
      <c r="F162" s="115">
        <f>'Sampling Data'!E162</f>
        <v>0</v>
      </c>
      <c r="G162" s="115">
        <f>'Sampling Data'!F162</f>
        <v>0</v>
      </c>
      <c r="H162" s="115">
        <f>'Sampling Data'!G162</f>
        <v>0</v>
      </c>
      <c r="I162" s="115">
        <f>'Sampling Data'!H162</f>
        <v>0</v>
      </c>
      <c r="J162" s="115">
        <f>'Sampling Data'!I162</f>
        <v>0</v>
      </c>
      <c r="K162" s="115">
        <f>'Sampling Data'!J162</f>
        <v>0</v>
      </c>
      <c r="L162" s="115">
        <f>'Sampling Data'!K162</f>
        <v>0</v>
      </c>
      <c r="M162" s="115">
        <f>'Sampling Data'!L162</f>
        <v>0</v>
      </c>
      <c r="N162" s="115">
        <f>'Sampling Data'!M162</f>
        <v>0</v>
      </c>
      <c r="O162" s="114">
        <f>'Sampling Data'!N162</f>
        <v>0</v>
      </c>
      <c r="P162" s="114">
        <f>'Sampling Data'!O162</f>
        <v>0</v>
      </c>
      <c r="Q162" s="114">
        <f>'Sampling Data'!P162</f>
        <v>0</v>
      </c>
      <c r="R162" s="114">
        <f>'Sampling Data'!AJ162</f>
        <v>0</v>
      </c>
      <c r="S162" s="116"/>
      <c r="T162" s="116"/>
      <c r="U162" s="117"/>
      <c r="V162" s="117"/>
      <c r="W162" s="116"/>
      <c r="X162" s="116"/>
      <c r="Y162" s="116"/>
      <c r="Z162" s="116"/>
      <c r="AA162" s="15"/>
      <c r="AB162" s="15"/>
      <c r="AC162" s="15"/>
      <c r="AD162" s="15"/>
      <c r="AE162" s="118" t="str">
        <f>IF(NOT(ISBLANK(Audit[[#This Row],[Audit Winning Candidate]])), Audit[[#This Row],[Audit Winning Candidate]]-Audit[[#This Row],[Winning Candidate]], "")</f>
        <v/>
      </c>
      <c r="AF162" s="114" t="str">
        <f>IF(NOT(ISBLANK(Audit[[#This Row],[Audit Losing Candidate]])), Audit[[#This Row],[Audit Losing Candidate]]-Audit[[#This Row],[Losing Candidate]], "")</f>
        <v/>
      </c>
      <c r="AG162" s="114" t="str">
        <f>IF(NOT(ISBLANK(Audit[[#This Row],[Audit Candidate 3]])), Audit[[#This Row],[Audit Candidate 3]]-Audit[[#This Row],[Candidate 3]], "")</f>
        <v/>
      </c>
      <c r="AH162" s="114" t="str">
        <f>IF(NOT(ISBLANK(Audit[[#This Row],[Audit Candidate 4]])),Audit[[#This Row],[Audit Candidate 4]]-Audit[[#This Row],[Candidate 4]], "")</f>
        <v/>
      </c>
      <c r="AI162" s="114" t="str">
        <f>IF(NOT(ISBLANK(Audit[[#This Row],[Audit Candidate 5]])), Audit[[#This Row],[Audit Candidate 5]]-Audit[[#This Row],[Candidate 5]], "")</f>
        <v/>
      </c>
      <c r="AJ162" s="114" t="str">
        <f>IF(NOT(ISBLANK(Audit[[#This Row],[Audit Candidate 6]])), Audit[[#This Row],[Audit Candidate 6]]-Audit[[#This Row],[Candidate 6]], "")</f>
        <v/>
      </c>
      <c r="AK162" s="114" t="str">
        <f>IF(NOT(ISBLANK(Audit[[#This Row],[Audit Candidate 7]])), Audit[[#This Row],[Audit Candidate 7]]-Audit[[#This Row],[Candidate 7]], "")</f>
        <v/>
      </c>
      <c r="AL162" s="114" t="str">
        <f>IF(NOT(ISBLANK(Audit[[#This Row],[Audit Candidate 8]])), Audit[[#This Row],[Audit Candidate 8]]-Audit[[#This Row],[Candidate 8]], "")</f>
        <v/>
      </c>
      <c r="AM162" s="114" t="str">
        <f>IF(NOT(ISBLANK(Audit[[#This Row],[Audit Candidate 9]])), Audit[[#This Row],[Audit Candidate 9]]-Audit[[#This Row],[Candidate 9]], "")</f>
        <v/>
      </c>
      <c r="AN162" s="114" t="str">
        <f>IF(NOT(ISBLANK(Audit[[#This Row],[Audit Candidate 10]])), Audit[[#This Row],[Audit Candidate 10]]-Audit[[#This Row],[Candidate 10]], "")</f>
        <v/>
      </c>
      <c r="AO162" s="114" t="str">
        <f>IF(NOT(ISBLANK(Audit[[#This Row],[Audit Candidate 11]])), Audit[[#This Row],[Audit Candidate 11]]-Audit[[#This Row],[Candidate 11]], "")</f>
        <v/>
      </c>
      <c r="AP162" s="114" t="str">
        <f>IF(NOT(ISBLANK(Audit[[#This Row],[Audit Candidate 12]])), Audit[[#This Row],[Audit Candidate 12]]-Audit[[#This Row],[Candidate 12]], "")</f>
        <v/>
      </c>
      <c r="AQ162" s="114">
        <f>SUMIF(Audit[[#This Row],[Difference Winner]:[Difference Candidate 12]], "&gt;0")</f>
        <v>0</v>
      </c>
      <c r="AR162" s="114">
        <f>SUM(Audit[[#This Row],[Difference Winner]:[Difference Candidate 12]])</f>
        <v>0</v>
      </c>
      <c r="AS162" s="114">
        <f>IF(Audit[[#This Row],[Times p Drawn - With Replacement]]&gt;0, IF(Audit[[#This Row],[Canceled Differences]]&lt;0, Audit[[#This Row],[Max Differences]]+ABS(Audit[[#This Row],[Canceled Differences]]), Audit[[#This Row],[Max Differences]]), 0)</f>
        <v>0</v>
      </c>
      <c r="AT162" s="114">
        <f>'Sampling Data'!AB162</f>
        <v>0</v>
      </c>
      <c r="AU162" s="114">
        <f>IF(
      SUM(Audit[[#This Row],[Audit Losing Candidate]:[Audit Candidate 12]])
      &lt;&gt;0,
      (Audit[[#This Row],[Winning Candidate]]-Audit[[#This Row],[Losing Candidate]]-(Audit[[#This Row],[Audit Winning Candidate]]-Audit[[#This Row],[Audit Losing Candidate]]))/(Audit[[#Totals],[Winning Candidate]]-Audit[[#Totals],[Losing Candidate]]),
      0
)</f>
        <v>0</v>
      </c>
      <c r="AV1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2" s="114">
        <f>IF(Audit[[#This Row],[Max Relative Error (ep)]] = 0, 0, Audit[[#This Row],[Max Relative Error (ep)]]/Audit[[#This Row],[Error Bound (up) - Max. possible relative overstatement]])</f>
        <v>0</v>
      </c>
      <c r="BH1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2" s="114">
        <f t="shared" si="3"/>
        <v>1</v>
      </c>
      <c r="BJ162" s="114">
        <f>PRODUCT($BI$5:BI162)</f>
        <v>0.20973752198051165</v>
      </c>
      <c r="BK162" s="112">
        <f>1 - Audit[[#This Row],[K-M P Value]]</f>
        <v>0.79026247801948835</v>
      </c>
      <c r="BL162" s="114" t="str">
        <f>IF(Audit[[#This Row],[K-M P Value]]&gt;1-'General Info'!$B$12,"Continue", "Stop")</f>
        <v>Continue</v>
      </c>
      <c r="BM162" s="113" t="b">
        <f>IF(Audit[[#This Row],[Status - Continue or stop audit]] = "Continue", TRUE, IF(BL161 = "Continue", TRUE, FALSE))</f>
        <v>1</v>
      </c>
      <c r="BN162" s="113"/>
    </row>
    <row r="163" spans="1:66" ht="15" hidden="1" customHeight="1" x14ac:dyDescent="0.35">
      <c r="A163" s="114" t="str">
        <f>'Sampling Data'!AI163</f>
        <v/>
      </c>
      <c r="B163" s="114" t="str">
        <f>'Sampling Data'!A163</f>
        <v>2409 CIN 24-I   (AV)</v>
      </c>
      <c r="C163" s="114">
        <f>'Sampling Data'!B163</f>
        <v>1</v>
      </c>
      <c r="D163" s="114">
        <f>'Sampling Data'!C163</f>
        <v>0</v>
      </c>
      <c r="E163" s="115">
        <f>'Sampling Data'!D163</f>
        <v>0</v>
      </c>
      <c r="F163" s="115">
        <f>'Sampling Data'!E163</f>
        <v>0</v>
      </c>
      <c r="G163" s="115">
        <f>'Sampling Data'!F163</f>
        <v>0</v>
      </c>
      <c r="H163" s="115">
        <f>'Sampling Data'!G163</f>
        <v>0</v>
      </c>
      <c r="I163" s="115">
        <f>'Sampling Data'!H163</f>
        <v>0</v>
      </c>
      <c r="J163" s="115">
        <f>'Sampling Data'!I163</f>
        <v>0</v>
      </c>
      <c r="K163" s="115">
        <f>'Sampling Data'!J163</f>
        <v>0</v>
      </c>
      <c r="L163" s="115">
        <f>'Sampling Data'!K163</f>
        <v>0</v>
      </c>
      <c r="M163" s="115">
        <f>'Sampling Data'!L163</f>
        <v>0</v>
      </c>
      <c r="N163" s="115">
        <f>'Sampling Data'!M163</f>
        <v>0</v>
      </c>
      <c r="O163" s="114">
        <f>'Sampling Data'!N163</f>
        <v>0</v>
      </c>
      <c r="P163" s="114">
        <f>'Sampling Data'!O163</f>
        <v>0</v>
      </c>
      <c r="Q163" s="114">
        <f>'Sampling Data'!P163</f>
        <v>1</v>
      </c>
      <c r="R163" s="114">
        <f>'Sampling Data'!AJ163</f>
        <v>0</v>
      </c>
      <c r="S163" s="116"/>
      <c r="T163" s="116"/>
      <c r="U163" s="117"/>
      <c r="V163" s="117"/>
      <c r="W163" s="116"/>
      <c r="X163" s="116"/>
      <c r="Y163" s="116"/>
      <c r="Z163" s="116"/>
      <c r="AA163" s="15"/>
      <c r="AB163" s="15"/>
      <c r="AC163" s="15"/>
      <c r="AD163" s="15"/>
      <c r="AE163" s="118" t="str">
        <f>IF(NOT(ISBLANK(Audit[[#This Row],[Audit Winning Candidate]])), Audit[[#This Row],[Audit Winning Candidate]]-Audit[[#This Row],[Winning Candidate]], "")</f>
        <v/>
      </c>
      <c r="AF163" s="114" t="str">
        <f>IF(NOT(ISBLANK(Audit[[#This Row],[Audit Losing Candidate]])), Audit[[#This Row],[Audit Losing Candidate]]-Audit[[#This Row],[Losing Candidate]], "")</f>
        <v/>
      </c>
      <c r="AG163" s="114" t="str">
        <f>IF(NOT(ISBLANK(Audit[[#This Row],[Audit Candidate 3]])), Audit[[#This Row],[Audit Candidate 3]]-Audit[[#This Row],[Candidate 3]], "")</f>
        <v/>
      </c>
      <c r="AH163" s="114" t="str">
        <f>IF(NOT(ISBLANK(Audit[[#This Row],[Audit Candidate 4]])),Audit[[#This Row],[Audit Candidate 4]]-Audit[[#This Row],[Candidate 4]], "")</f>
        <v/>
      </c>
      <c r="AI163" s="114" t="str">
        <f>IF(NOT(ISBLANK(Audit[[#This Row],[Audit Candidate 5]])), Audit[[#This Row],[Audit Candidate 5]]-Audit[[#This Row],[Candidate 5]], "")</f>
        <v/>
      </c>
      <c r="AJ163" s="114" t="str">
        <f>IF(NOT(ISBLANK(Audit[[#This Row],[Audit Candidate 6]])), Audit[[#This Row],[Audit Candidate 6]]-Audit[[#This Row],[Candidate 6]], "")</f>
        <v/>
      </c>
      <c r="AK163" s="114" t="str">
        <f>IF(NOT(ISBLANK(Audit[[#This Row],[Audit Candidate 7]])), Audit[[#This Row],[Audit Candidate 7]]-Audit[[#This Row],[Candidate 7]], "")</f>
        <v/>
      </c>
      <c r="AL163" s="114" t="str">
        <f>IF(NOT(ISBLANK(Audit[[#This Row],[Audit Candidate 8]])), Audit[[#This Row],[Audit Candidate 8]]-Audit[[#This Row],[Candidate 8]], "")</f>
        <v/>
      </c>
      <c r="AM163" s="114" t="str">
        <f>IF(NOT(ISBLANK(Audit[[#This Row],[Audit Candidate 9]])), Audit[[#This Row],[Audit Candidate 9]]-Audit[[#This Row],[Candidate 9]], "")</f>
        <v/>
      </c>
      <c r="AN163" s="114" t="str">
        <f>IF(NOT(ISBLANK(Audit[[#This Row],[Audit Candidate 10]])), Audit[[#This Row],[Audit Candidate 10]]-Audit[[#This Row],[Candidate 10]], "")</f>
        <v/>
      </c>
      <c r="AO163" s="114" t="str">
        <f>IF(NOT(ISBLANK(Audit[[#This Row],[Audit Candidate 11]])), Audit[[#This Row],[Audit Candidate 11]]-Audit[[#This Row],[Candidate 11]], "")</f>
        <v/>
      </c>
      <c r="AP163" s="114" t="str">
        <f>IF(NOT(ISBLANK(Audit[[#This Row],[Audit Candidate 12]])), Audit[[#This Row],[Audit Candidate 12]]-Audit[[#This Row],[Candidate 12]], "")</f>
        <v/>
      </c>
      <c r="AQ163" s="114">
        <f>SUMIF(Audit[[#This Row],[Difference Winner]:[Difference Candidate 12]], "&gt;0")</f>
        <v>0</v>
      </c>
      <c r="AR163" s="114">
        <f>SUM(Audit[[#This Row],[Difference Winner]:[Difference Candidate 12]])</f>
        <v>0</v>
      </c>
      <c r="AS163" s="114">
        <f>IF(Audit[[#This Row],[Times p Drawn - With Replacement]]&gt;0, IF(Audit[[#This Row],[Canceled Differences]]&lt;0, Audit[[#This Row],[Max Differences]]+ABS(Audit[[#This Row],[Canceled Differences]]), Audit[[#This Row],[Max Differences]]), 0)</f>
        <v>0</v>
      </c>
      <c r="AT163" s="114">
        <f>'Sampling Data'!AB163</f>
        <v>1.2641425952847481E-4</v>
      </c>
      <c r="AU163" s="114">
        <f>IF(
      SUM(Audit[[#This Row],[Audit Losing Candidate]:[Audit Candidate 12]])
      &lt;&gt;0,
      (Audit[[#This Row],[Winning Candidate]]-Audit[[#This Row],[Losing Candidate]]-(Audit[[#This Row],[Audit Winning Candidate]]-Audit[[#This Row],[Audit Losing Candidate]]))/(Audit[[#Totals],[Winning Candidate]]-Audit[[#Totals],[Losing Candidate]]),
      0
)</f>
        <v>0</v>
      </c>
      <c r="AV1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3" s="114">
        <f>IF(Audit[[#This Row],[Max Relative Error (ep)]] = 0, 0, Audit[[#This Row],[Max Relative Error (ep)]]/Audit[[#This Row],[Error Bound (up) - Max. possible relative overstatement]])</f>
        <v>0</v>
      </c>
      <c r="BH1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3" s="114">
        <f t="shared" si="3"/>
        <v>1</v>
      </c>
      <c r="BJ163" s="114">
        <f>PRODUCT($BI$5:BI163)</f>
        <v>0.20973752198051165</v>
      </c>
      <c r="BK163" s="112">
        <f>1 - Audit[[#This Row],[K-M P Value]]</f>
        <v>0.79026247801948835</v>
      </c>
      <c r="BL163" s="114" t="str">
        <f>IF(Audit[[#This Row],[K-M P Value]]&gt;1-'General Info'!$B$12,"Continue", "Stop")</f>
        <v>Continue</v>
      </c>
      <c r="BM163" s="113" t="b">
        <f>IF(Audit[[#This Row],[Status - Continue or stop audit]] = "Continue", TRUE, IF(BL162 = "Continue", TRUE, FALSE))</f>
        <v>1</v>
      </c>
      <c r="BN163" s="113"/>
    </row>
    <row r="164" spans="1:66" ht="15" hidden="1" customHeight="1" x14ac:dyDescent="0.35">
      <c r="A164" s="114" t="str">
        <f>'Sampling Data'!AI164</f>
        <v/>
      </c>
      <c r="B164" s="114" t="str">
        <f>'Sampling Data'!A164</f>
        <v>2501 CIN 25-A   (AV)</v>
      </c>
      <c r="C164" s="114">
        <f>'Sampling Data'!B164</f>
        <v>3</v>
      </c>
      <c r="D164" s="114">
        <f>'Sampling Data'!C164</f>
        <v>0</v>
      </c>
      <c r="E164" s="115">
        <f>'Sampling Data'!D164</f>
        <v>0</v>
      </c>
      <c r="F164" s="115">
        <f>'Sampling Data'!E164</f>
        <v>0</v>
      </c>
      <c r="G164" s="115">
        <f>'Sampling Data'!F164</f>
        <v>0</v>
      </c>
      <c r="H164" s="115">
        <f>'Sampling Data'!G164</f>
        <v>0</v>
      </c>
      <c r="I164" s="115">
        <f>'Sampling Data'!H164</f>
        <v>0</v>
      </c>
      <c r="J164" s="115">
        <f>'Sampling Data'!I164</f>
        <v>0</v>
      </c>
      <c r="K164" s="115">
        <f>'Sampling Data'!J164</f>
        <v>0</v>
      </c>
      <c r="L164" s="115">
        <f>'Sampling Data'!K164</f>
        <v>0</v>
      </c>
      <c r="M164" s="115">
        <f>'Sampling Data'!L164</f>
        <v>0</v>
      </c>
      <c r="N164" s="115">
        <f>'Sampling Data'!M164</f>
        <v>0</v>
      </c>
      <c r="O164" s="114">
        <f>'Sampling Data'!N164</f>
        <v>0</v>
      </c>
      <c r="P164" s="114">
        <f>'Sampling Data'!O164</f>
        <v>0</v>
      </c>
      <c r="Q164" s="114">
        <f>'Sampling Data'!P164</f>
        <v>3</v>
      </c>
      <c r="R164" s="114">
        <f>'Sampling Data'!AJ164</f>
        <v>0</v>
      </c>
      <c r="S164" s="116"/>
      <c r="T164" s="116"/>
      <c r="U164" s="117"/>
      <c r="V164" s="117"/>
      <c r="W164" s="116"/>
      <c r="X164" s="116"/>
      <c r="Y164" s="116"/>
      <c r="Z164" s="116"/>
      <c r="AA164" s="15"/>
      <c r="AB164" s="15"/>
      <c r="AC164" s="15"/>
      <c r="AD164" s="15"/>
      <c r="AE164" s="118" t="str">
        <f>IF(NOT(ISBLANK(Audit[[#This Row],[Audit Winning Candidate]])), Audit[[#This Row],[Audit Winning Candidate]]-Audit[[#This Row],[Winning Candidate]], "")</f>
        <v/>
      </c>
      <c r="AF164" s="114" t="str">
        <f>IF(NOT(ISBLANK(Audit[[#This Row],[Audit Losing Candidate]])), Audit[[#This Row],[Audit Losing Candidate]]-Audit[[#This Row],[Losing Candidate]], "")</f>
        <v/>
      </c>
      <c r="AG164" s="114" t="str">
        <f>IF(NOT(ISBLANK(Audit[[#This Row],[Audit Candidate 3]])), Audit[[#This Row],[Audit Candidate 3]]-Audit[[#This Row],[Candidate 3]], "")</f>
        <v/>
      </c>
      <c r="AH164" s="114" t="str">
        <f>IF(NOT(ISBLANK(Audit[[#This Row],[Audit Candidate 4]])),Audit[[#This Row],[Audit Candidate 4]]-Audit[[#This Row],[Candidate 4]], "")</f>
        <v/>
      </c>
      <c r="AI164" s="114" t="str">
        <f>IF(NOT(ISBLANK(Audit[[#This Row],[Audit Candidate 5]])), Audit[[#This Row],[Audit Candidate 5]]-Audit[[#This Row],[Candidate 5]], "")</f>
        <v/>
      </c>
      <c r="AJ164" s="114" t="str">
        <f>IF(NOT(ISBLANK(Audit[[#This Row],[Audit Candidate 6]])), Audit[[#This Row],[Audit Candidate 6]]-Audit[[#This Row],[Candidate 6]], "")</f>
        <v/>
      </c>
      <c r="AK164" s="114" t="str">
        <f>IF(NOT(ISBLANK(Audit[[#This Row],[Audit Candidate 7]])), Audit[[#This Row],[Audit Candidate 7]]-Audit[[#This Row],[Candidate 7]], "")</f>
        <v/>
      </c>
      <c r="AL164" s="114" t="str">
        <f>IF(NOT(ISBLANK(Audit[[#This Row],[Audit Candidate 8]])), Audit[[#This Row],[Audit Candidate 8]]-Audit[[#This Row],[Candidate 8]], "")</f>
        <v/>
      </c>
      <c r="AM164" s="114" t="str">
        <f>IF(NOT(ISBLANK(Audit[[#This Row],[Audit Candidate 9]])), Audit[[#This Row],[Audit Candidate 9]]-Audit[[#This Row],[Candidate 9]], "")</f>
        <v/>
      </c>
      <c r="AN164" s="114" t="str">
        <f>IF(NOT(ISBLANK(Audit[[#This Row],[Audit Candidate 10]])), Audit[[#This Row],[Audit Candidate 10]]-Audit[[#This Row],[Candidate 10]], "")</f>
        <v/>
      </c>
      <c r="AO164" s="114" t="str">
        <f>IF(NOT(ISBLANK(Audit[[#This Row],[Audit Candidate 11]])), Audit[[#This Row],[Audit Candidate 11]]-Audit[[#This Row],[Candidate 11]], "")</f>
        <v/>
      </c>
      <c r="AP164" s="114" t="str">
        <f>IF(NOT(ISBLANK(Audit[[#This Row],[Audit Candidate 12]])), Audit[[#This Row],[Audit Candidate 12]]-Audit[[#This Row],[Candidate 12]], "")</f>
        <v/>
      </c>
      <c r="AQ164" s="114">
        <f>SUMIF(Audit[[#This Row],[Difference Winner]:[Difference Candidate 12]], "&gt;0")</f>
        <v>0</v>
      </c>
      <c r="AR164" s="114">
        <f>SUM(Audit[[#This Row],[Difference Winner]:[Difference Candidate 12]])</f>
        <v>0</v>
      </c>
      <c r="AS164" s="114">
        <f>IF(Audit[[#This Row],[Times p Drawn - With Replacement]]&gt;0, IF(Audit[[#This Row],[Canceled Differences]]&lt;0, Audit[[#This Row],[Max Differences]]+ABS(Audit[[#This Row],[Canceled Differences]]), Audit[[#This Row],[Max Differences]]), 0)</f>
        <v>0</v>
      </c>
      <c r="AT164" s="114">
        <f>'Sampling Data'!AB164</f>
        <v>3.7924277858542444E-4</v>
      </c>
      <c r="AU164" s="114">
        <f>IF(
      SUM(Audit[[#This Row],[Audit Losing Candidate]:[Audit Candidate 12]])
      &lt;&gt;0,
      (Audit[[#This Row],[Winning Candidate]]-Audit[[#This Row],[Losing Candidate]]-(Audit[[#This Row],[Audit Winning Candidate]]-Audit[[#This Row],[Audit Losing Candidate]]))/(Audit[[#Totals],[Winning Candidate]]-Audit[[#Totals],[Losing Candidate]]),
      0
)</f>
        <v>0</v>
      </c>
      <c r="AV1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4" s="114">
        <f>IF(Audit[[#This Row],[Max Relative Error (ep)]] = 0, 0, Audit[[#This Row],[Max Relative Error (ep)]]/Audit[[#This Row],[Error Bound (up) - Max. possible relative overstatement]])</f>
        <v>0</v>
      </c>
      <c r="BH1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4" s="114">
        <f t="shared" si="3"/>
        <v>1</v>
      </c>
      <c r="BJ164" s="114">
        <f>PRODUCT($BI$5:BI164)</f>
        <v>0.20973752198051165</v>
      </c>
      <c r="BK164" s="112">
        <f>1 - Audit[[#This Row],[K-M P Value]]</f>
        <v>0.79026247801948835</v>
      </c>
      <c r="BL164" s="114" t="str">
        <f>IF(Audit[[#This Row],[K-M P Value]]&gt;1-'General Info'!$B$12,"Continue", "Stop")</f>
        <v>Continue</v>
      </c>
      <c r="BM164" s="113" t="b">
        <f>IF(Audit[[#This Row],[Status - Continue or stop audit]] = "Continue", TRUE, IF(BL163 = "Continue", TRUE, FALSE))</f>
        <v>1</v>
      </c>
      <c r="BN164" s="113"/>
    </row>
    <row r="165" spans="1:66" ht="15" hidden="1" customHeight="1" x14ac:dyDescent="0.35">
      <c r="A165" s="114" t="str">
        <f>'Sampling Data'!AI165</f>
        <v/>
      </c>
      <c r="B165" s="114" t="str">
        <f>'Sampling Data'!A165</f>
        <v>2502 CIN 25-B   (AV)</v>
      </c>
      <c r="C165" s="114">
        <f>'Sampling Data'!B165</f>
        <v>7</v>
      </c>
      <c r="D165" s="114">
        <f>'Sampling Data'!C165</f>
        <v>5</v>
      </c>
      <c r="E165" s="115">
        <f>'Sampling Data'!D165</f>
        <v>12</v>
      </c>
      <c r="F165" s="115">
        <f>'Sampling Data'!E165</f>
        <v>0</v>
      </c>
      <c r="G165" s="115">
        <f>'Sampling Data'!F165</f>
        <v>0</v>
      </c>
      <c r="H165" s="115">
        <f>'Sampling Data'!G165</f>
        <v>0</v>
      </c>
      <c r="I165" s="115">
        <f>'Sampling Data'!H165</f>
        <v>0</v>
      </c>
      <c r="J165" s="115">
        <f>'Sampling Data'!I165</f>
        <v>0</v>
      </c>
      <c r="K165" s="115">
        <f>'Sampling Data'!J165</f>
        <v>0</v>
      </c>
      <c r="L165" s="115">
        <f>'Sampling Data'!K165</f>
        <v>0</v>
      </c>
      <c r="M165" s="115">
        <f>'Sampling Data'!L165</f>
        <v>0</v>
      </c>
      <c r="N165" s="115">
        <f>'Sampling Data'!M165</f>
        <v>0</v>
      </c>
      <c r="O165" s="114">
        <f>'Sampling Data'!N165</f>
        <v>0</v>
      </c>
      <c r="P165" s="114">
        <f>'Sampling Data'!O165</f>
        <v>2</v>
      </c>
      <c r="Q165" s="114">
        <f>'Sampling Data'!P165</f>
        <v>26</v>
      </c>
      <c r="R165" s="114">
        <f>'Sampling Data'!AJ165</f>
        <v>0</v>
      </c>
      <c r="S165" s="116"/>
      <c r="T165" s="116"/>
      <c r="U165" s="117"/>
      <c r="V165" s="117"/>
      <c r="W165" s="116"/>
      <c r="X165" s="116"/>
      <c r="Y165" s="116"/>
      <c r="Z165" s="116"/>
      <c r="AA165" s="15"/>
      <c r="AB165" s="15"/>
      <c r="AC165" s="15"/>
      <c r="AD165" s="15"/>
      <c r="AE165" s="118" t="str">
        <f>IF(NOT(ISBLANK(Audit[[#This Row],[Audit Winning Candidate]])), Audit[[#This Row],[Audit Winning Candidate]]-Audit[[#This Row],[Winning Candidate]], "")</f>
        <v/>
      </c>
      <c r="AF165" s="114" t="str">
        <f>IF(NOT(ISBLANK(Audit[[#This Row],[Audit Losing Candidate]])), Audit[[#This Row],[Audit Losing Candidate]]-Audit[[#This Row],[Losing Candidate]], "")</f>
        <v/>
      </c>
      <c r="AG165" s="114" t="str">
        <f>IF(NOT(ISBLANK(Audit[[#This Row],[Audit Candidate 3]])), Audit[[#This Row],[Audit Candidate 3]]-Audit[[#This Row],[Candidate 3]], "")</f>
        <v/>
      </c>
      <c r="AH165" s="114" t="str">
        <f>IF(NOT(ISBLANK(Audit[[#This Row],[Audit Candidate 4]])),Audit[[#This Row],[Audit Candidate 4]]-Audit[[#This Row],[Candidate 4]], "")</f>
        <v/>
      </c>
      <c r="AI165" s="114" t="str">
        <f>IF(NOT(ISBLANK(Audit[[#This Row],[Audit Candidate 5]])), Audit[[#This Row],[Audit Candidate 5]]-Audit[[#This Row],[Candidate 5]], "")</f>
        <v/>
      </c>
      <c r="AJ165" s="114" t="str">
        <f>IF(NOT(ISBLANK(Audit[[#This Row],[Audit Candidate 6]])), Audit[[#This Row],[Audit Candidate 6]]-Audit[[#This Row],[Candidate 6]], "")</f>
        <v/>
      </c>
      <c r="AK165" s="114" t="str">
        <f>IF(NOT(ISBLANK(Audit[[#This Row],[Audit Candidate 7]])), Audit[[#This Row],[Audit Candidate 7]]-Audit[[#This Row],[Candidate 7]], "")</f>
        <v/>
      </c>
      <c r="AL165" s="114" t="str">
        <f>IF(NOT(ISBLANK(Audit[[#This Row],[Audit Candidate 8]])), Audit[[#This Row],[Audit Candidate 8]]-Audit[[#This Row],[Candidate 8]], "")</f>
        <v/>
      </c>
      <c r="AM165" s="114" t="str">
        <f>IF(NOT(ISBLANK(Audit[[#This Row],[Audit Candidate 9]])), Audit[[#This Row],[Audit Candidate 9]]-Audit[[#This Row],[Candidate 9]], "")</f>
        <v/>
      </c>
      <c r="AN165" s="114" t="str">
        <f>IF(NOT(ISBLANK(Audit[[#This Row],[Audit Candidate 10]])), Audit[[#This Row],[Audit Candidate 10]]-Audit[[#This Row],[Candidate 10]], "")</f>
        <v/>
      </c>
      <c r="AO165" s="114" t="str">
        <f>IF(NOT(ISBLANK(Audit[[#This Row],[Audit Candidate 11]])), Audit[[#This Row],[Audit Candidate 11]]-Audit[[#This Row],[Candidate 11]], "")</f>
        <v/>
      </c>
      <c r="AP165" s="114" t="str">
        <f>IF(NOT(ISBLANK(Audit[[#This Row],[Audit Candidate 12]])), Audit[[#This Row],[Audit Candidate 12]]-Audit[[#This Row],[Candidate 12]], "")</f>
        <v/>
      </c>
      <c r="AQ165" s="114">
        <f>SUMIF(Audit[[#This Row],[Difference Winner]:[Difference Candidate 12]], "&gt;0")</f>
        <v>0</v>
      </c>
      <c r="AR165" s="114">
        <f>SUM(Audit[[#This Row],[Difference Winner]:[Difference Candidate 12]])</f>
        <v>0</v>
      </c>
      <c r="AS165" s="114">
        <f>IF(Audit[[#This Row],[Times p Drawn - With Replacement]]&gt;0, IF(Audit[[#This Row],[Canceled Differences]]&lt;0, Audit[[#This Row],[Max Differences]]+ABS(Audit[[#This Row],[Canceled Differences]]), Audit[[#This Row],[Max Differences]]), 0)</f>
        <v>0</v>
      </c>
      <c r="AT165" s="114">
        <f>'Sampling Data'!AB165</f>
        <v>1.7697996333986474E-3</v>
      </c>
      <c r="AU165" s="114">
        <f>IF(
      SUM(Audit[[#This Row],[Audit Losing Candidate]:[Audit Candidate 12]])
      &lt;&gt;0,
      (Audit[[#This Row],[Winning Candidate]]-Audit[[#This Row],[Losing Candidate]]-(Audit[[#This Row],[Audit Winning Candidate]]-Audit[[#This Row],[Audit Losing Candidate]]))/(Audit[[#Totals],[Winning Candidate]]-Audit[[#Totals],[Losing Candidate]]),
      0
)</f>
        <v>0</v>
      </c>
      <c r="AV1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5" s="114">
        <f>IF(Audit[[#This Row],[Max Relative Error (ep)]] = 0, 0, Audit[[#This Row],[Max Relative Error (ep)]]/Audit[[#This Row],[Error Bound (up) - Max. possible relative overstatement]])</f>
        <v>0</v>
      </c>
      <c r="BH1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5" s="114">
        <f t="shared" si="3"/>
        <v>1</v>
      </c>
      <c r="BJ165" s="114">
        <f>PRODUCT($BI$5:BI165)</f>
        <v>0.20973752198051165</v>
      </c>
      <c r="BK165" s="112">
        <f>1 - Audit[[#This Row],[K-M P Value]]</f>
        <v>0.79026247801948835</v>
      </c>
      <c r="BL165" s="114" t="str">
        <f>IF(Audit[[#This Row],[K-M P Value]]&gt;1-'General Info'!$B$12,"Continue", "Stop")</f>
        <v>Continue</v>
      </c>
      <c r="BM165" s="113" t="b">
        <f>IF(Audit[[#This Row],[Status - Continue or stop audit]] = "Continue", TRUE, IF(BL164 = "Continue", TRUE, FALSE))</f>
        <v>1</v>
      </c>
      <c r="BN165" s="113"/>
    </row>
    <row r="166" spans="1:66" ht="15" hidden="1" customHeight="1" x14ac:dyDescent="0.35">
      <c r="A166" s="114" t="str">
        <f>'Sampling Data'!AI166</f>
        <v/>
      </c>
      <c r="B166" s="114" t="str">
        <f>'Sampling Data'!A166</f>
        <v>2503 CIN 25-C   (AV)</v>
      </c>
      <c r="C166" s="114">
        <f>'Sampling Data'!B166</f>
        <v>9</v>
      </c>
      <c r="D166" s="114">
        <f>'Sampling Data'!C166</f>
        <v>5</v>
      </c>
      <c r="E166" s="115">
        <f>'Sampling Data'!D166</f>
        <v>0</v>
      </c>
      <c r="F166" s="115">
        <f>'Sampling Data'!E166</f>
        <v>0</v>
      </c>
      <c r="G166" s="115">
        <f>'Sampling Data'!F166</f>
        <v>0</v>
      </c>
      <c r="H166" s="115">
        <f>'Sampling Data'!G166</f>
        <v>0</v>
      </c>
      <c r="I166" s="115">
        <f>'Sampling Data'!H166</f>
        <v>0</v>
      </c>
      <c r="J166" s="115">
        <f>'Sampling Data'!I166</f>
        <v>0</v>
      </c>
      <c r="K166" s="115">
        <f>'Sampling Data'!J166</f>
        <v>0</v>
      </c>
      <c r="L166" s="115">
        <f>'Sampling Data'!K166</f>
        <v>0</v>
      </c>
      <c r="M166" s="115">
        <f>'Sampling Data'!L166</f>
        <v>0</v>
      </c>
      <c r="N166" s="115">
        <f>'Sampling Data'!M166</f>
        <v>0</v>
      </c>
      <c r="O166" s="114">
        <f>'Sampling Data'!N166</f>
        <v>0</v>
      </c>
      <c r="P166" s="114">
        <f>'Sampling Data'!O166</f>
        <v>0</v>
      </c>
      <c r="Q166" s="114">
        <f>'Sampling Data'!P166</f>
        <v>14</v>
      </c>
      <c r="R166" s="114">
        <f>'Sampling Data'!AJ166</f>
        <v>0</v>
      </c>
      <c r="S166" s="116"/>
      <c r="T166" s="116"/>
      <c r="U166" s="117"/>
      <c r="V166" s="117"/>
      <c r="W166" s="116"/>
      <c r="X166" s="116"/>
      <c r="Y166" s="116"/>
      <c r="Z166" s="116"/>
      <c r="AA166" s="15"/>
      <c r="AB166" s="15"/>
      <c r="AC166" s="15"/>
      <c r="AD166" s="15"/>
      <c r="AE166" s="118" t="str">
        <f>IF(NOT(ISBLANK(Audit[[#This Row],[Audit Winning Candidate]])), Audit[[#This Row],[Audit Winning Candidate]]-Audit[[#This Row],[Winning Candidate]], "")</f>
        <v/>
      </c>
      <c r="AF166" s="114" t="str">
        <f>IF(NOT(ISBLANK(Audit[[#This Row],[Audit Losing Candidate]])), Audit[[#This Row],[Audit Losing Candidate]]-Audit[[#This Row],[Losing Candidate]], "")</f>
        <v/>
      </c>
      <c r="AG166" s="114" t="str">
        <f>IF(NOT(ISBLANK(Audit[[#This Row],[Audit Candidate 3]])), Audit[[#This Row],[Audit Candidate 3]]-Audit[[#This Row],[Candidate 3]], "")</f>
        <v/>
      </c>
      <c r="AH166" s="114" t="str">
        <f>IF(NOT(ISBLANK(Audit[[#This Row],[Audit Candidate 4]])),Audit[[#This Row],[Audit Candidate 4]]-Audit[[#This Row],[Candidate 4]], "")</f>
        <v/>
      </c>
      <c r="AI166" s="114" t="str">
        <f>IF(NOT(ISBLANK(Audit[[#This Row],[Audit Candidate 5]])), Audit[[#This Row],[Audit Candidate 5]]-Audit[[#This Row],[Candidate 5]], "")</f>
        <v/>
      </c>
      <c r="AJ166" s="114" t="str">
        <f>IF(NOT(ISBLANK(Audit[[#This Row],[Audit Candidate 6]])), Audit[[#This Row],[Audit Candidate 6]]-Audit[[#This Row],[Candidate 6]], "")</f>
        <v/>
      </c>
      <c r="AK166" s="114" t="str">
        <f>IF(NOT(ISBLANK(Audit[[#This Row],[Audit Candidate 7]])), Audit[[#This Row],[Audit Candidate 7]]-Audit[[#This Row],[Candidate 7]], "")</f>
        <v/>
      </c>
      <c r="AL166" s="114" t="str">
        <f>IF(NOT(ISBLANK(Audit[[#This Row],[Audit Candidate 8]])), Audit[[#This Row],[Audit Candidate 8]]-Audit[[#This Row],[Candidate 8]], "")</f>
        <v/>
      </c>
      <c r="AM166" s="114" t="str">
        <f>IF(NOT(ISBLANK(Audit[[#This Row],[Audit Candidate 9]])), Audit[[#This Row],[Audit Candidate 9]]-Audit[[#This Row],[Candidate 9]], "")</f>
        <v/>
      </c>
      <c r="AN166" s="114" t="str">
        <f>IF(NOT(ISBLANK(Audit[[#This Row],[Audit Candidate 10]])), Audit[[#This Row],[Audit Candidate 10]]-Audit[[#This Row],[Candidate 10]], "")</f>
        <v/>
      </c>
      <c r="AO166" s="114" t="str">
        <f>IF(NOT(ISBLANK(Audit[[#This Row],[Audit Candidate 11]])), Audit[[#This Row],[Audit Candidate 11]]-Audit[[#This Row],[Candidate 11]], "")</f>
        <v/>
      </c>
      <c r="AP166" s="114" t="str">
        <f>IF(NOT(ISBLANK(Audit[[#This Row],[Audit Candidate 12]])), Audit[[#This Row],[Audit Candidate 12]]-Audit[[#This Row],[Candidate 12]], "")</f>
        <v/>
      </c>
      <c r="AQ166" s="114">
        <f>SUMIF(Audit[[#This Row],[Difference Winner]:[Difference Candidate 12]], "&gt;0")</f>
        <v>0</v>
      </c>
      <c r="AR166" s="114">
        <f>SUM(Audit[[#This Row],[Difference Winner]:[Difference Candidate 12]])</f>
        <v>0</v>
      </c>
      <c r="AS166" s="114">
        <f>IF(Audit[[#This Row],[Times p Drawn - With Replacement]]&gt;0, IF(Audit[[#This Row],[Canceled Differences]]&lt;0, Audit[[#This Row],[Max Differences]]+ABS(Audit[[#This Row],[Canceled Differences]]), Audit[[#This Row],[Max Differences]]), 0)</f>
        <v>0</v>
      </c>
      <c r="AT166" s="114">
        <f>'Sampling Data'!AB166</f>
        <v>1.2982614585685256E-3</v>
      </c>
      <c r="AU166" s="114">
        <f>IF(
      SUM(Audit[[#This Row],[Audit Losing Candidate]:[Audit Candidate 12]])
      &lt;&gt;0,
      (Audit[[#This Row],[Winning Candidate]]-Audit[[#This Row],[Losing Candidate]]-(Audit[[#This Row],[Audit Winning Candidate]]-Audit[[#This Row],[Audit Losing Candidate]]))/(Audit[[#Totals],[Winning Candidate]]-Audit[[#Totals],[Losing Candidate]]),
      0
)</f>
        <v>0</v>
      </c>
      <c r="AV1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6" s="114">
        <f>IF(Audit[[#This Row],[Max Relative Error (ep)]] = 0, 0, Audit[[#This Row],[Max Relative Error (ep)]]/Audit[[#This Row],[Error Bound (up) - Max. possible relative overstatement]])</f>
        <v>0</v>
      </c>
      <c r="BH1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6" s="114">
        <f t="shared" si="3"/>
        <v>1</v>
      </c>
      <c r="BJ166" s="114">
        <f>PRODUCT($BI$5:BI166)</f>
        <v>0.20973752198051165</v>
      </c>
      <c r="BK166" s="112">
        <f>1 - Audit[[#This Row],[K-M P Value]]</f>
        <v>0.79026247801948835</v>
      </c>
      <c r="BL166" s="114" t="str">
        <f>IF(Audit[[#This Row],[K-M P Value]]&gt;1-'General Info'!$B$12,"Continue", "Stop")</f>
        <v>Continue</v>
      </c>
      <c r="BM166" s="113" t="b">
        <f>IF(Audit[[#This Row],[Status - Continue or stop audit]] = "Continue", TRUE, IF(BL165 = "Continue", TRUE, FALSE))</f>
        <v>1</v>
      </c>
      <c r="BN166" s="113"/>
    </row>
    <row r="167" spans="1:66" ht="15" hidden="1" customHeight="1" x14ac:dyDescent="0.35">
      <c r="A167" s="114" t="str">
        <f>'Sampling Data'!AI167</f>
        <v/>
      </c>
      <c r="B167" s="114" t="str">
        <f>'Sampling Data'!A167</f>
        <v>2504 CIN 25-D   (AV)</v>
      </c>
      <c r="C167" s="114">
        <f>'Sampling Data'!B167</f>
        <v>6</v>
      </c>
      <c r="D167" s="114">
        <f>'Sampling Data'!C167</f>
        <v>4</v>
      </c>
      <c r="E167" s="115">
        <f>'Sampling Data'!D167</f>
        <v>2</v>
      </c>
      <c r="F167" s="115">
        <f>'Sampling Data'!E167</f>
        <v>0</v>
      </c>
      <c r="G167" s="115">
        <f>'Sampling Data'!F167</f>
        <v>0</v>
      </c>
      <c r="H167" s="115">
        <f>'Sampling Data'!G167</f>
        <v>0</v>
      </c>
      <c r="I167" s="115">
        <f>'Sampling Data'!H167</f>
        <v>0</v>
      </c>
      <c r="J167" s="115">
        <f>'Sampling Data'!I167</f>
        <v>0</v>
      </c>
      <c r="K167" s="115">
        <f>'Sampling Data'!J167</f>
        <v>0</v>
      </c>
      <c r="L167" s="115">
        <f>'Sampling Data'!K167</f>
        <v>0</v>
      </c>
      <c r="M167" s="115">
        <f>'Sampling Data'!L167</f>
        <v>0</v>
      </c>
      <c r="N167" s="115">
        <f>'Sampling Data'!M167</f>
        <v>0</v>
      </c>
      <c r="O167" s="114">
        <f>'Sampling Data'!N167</f>
        <v>0</v>
      </c>
      <c r="P167" s="114">
        <f>'Sampling Data'!O167</f>
        <v>0</v>
      </c>
      <c r="Q167" s="114">
        <f>'Sampling Data'!P167</f>
        <v>12</v>
      </c>
      <c r="R167" s="114">
        <f>'Sampling Data'!AJ167</f>
        <v>0</v>
      </c>
      <c r="S167" s="116"/>
      <c r="T167" s="116"/>
      <c r="U167" s="117"/>
      <c r="V167" s="117"/>
      <c r="W167" s="116"/>
      <c r="X167" s="116"/>
      <c r="Y167" s="116"/>
      <c r="Z167" s="116"/>
      <c r="AA167" s="15"/>
      <c r="AB167" s="15"/>
      <c r="AC167" s="15"/>
      <c r="AD167" s="15"/>
      <c r="AE167" s="118" t="str">
        <f>IF(NOT(ISBLANK(Audit[[#This Row],[Audit Winning Candidate]])), Audit[[#This Row],[Audit Winning Candidate]]-Audit[[#This Row],[Winning Candidate]], "")</f>
        <v/>
      </c>
      <c r="AF167" s="114" t="str">
        <f>IF(NOT(ISBLANK(Audit[[#This Row],[Audit Losing Candidate]])), Audit[[#This Row],[Audit Losing Candidate]]-Audit[[#This Row],[Losing Candidate]], "")</f>
        <v/>
      </c>
      <c r="AG167" s="114" t="str">
        <f>IF(NOT(ISBLANK(Audit[[#This Row],[Audit Candidate 3]])), Audit[[#This Row],[Audit Candidate 3]]-Audit[[#This Row],[Candidate 3]], "")</f>
        <v/>
      </c>
      <c r="AH167" s="114" t="str">
        <f>IF(NOT(ISBLANK(Audit[[#This Row],[Audit Candidate 4]])),Audit[[#This Row],[Audit Candidate 4]]-Audit[[#This Row],[Candidate 4]], "")</f>
        <v/>
      </c>
      <c r="AI167" s="114" t="str">
        <f>IF(NOT(ISBLANK(Audit[[#This Row],[Audit Candidate 5]])), Audit[[#This Row],[Audit Candidate 5]]-Audit[[#This Row],[Candidate 5]], "")</f>
        <v/>
      </c>
      <c r="AJ167" s="114" t="str">
        <f>IF(NOT(ISBLANK(Audit[[#This Row],[Audit Candidate 6]])), Audit[[#This Row],[Audit Candidate 6]]-Audit[[#This Row],[Candidate 6]], "")</f>
        <v/>
      </c>
      <c r="AK167" s="114" t="str">
        <f>IF(NOT(ISBLANK(Audit[[#This Row],[Audit Candidate 7]])), Audit[[#This Row],[Audit Candidate 7]]-Audit[[#This Row],[Candidate 7]], "")</f>
        <v/>
      </c>
      <c r="AL167" s="114" t="str">
        <f>IF(NOT(ISBLANK(Audit[[#This Row],[Audit Candidate 8]])), Audit[[#This Row],[Audit Candidate 8]]-Audit[[#This Row],[Candidate 8]], "")</f>
        <v/>
      </c>
      <c r="AM167" s="114" t="str">
        <f>IF(NOT(ISBLANK(Audit[[#This Row],[Audit Candidate 9]])), Audit[[#This Row],[Audit Candidate 9]]-Audit[[#This Row],[Candidate 9]], "")</f>
        <v/>
      </c>
      <c r="AN167" s="114" t="str">
        <f>IF(NOT(ISBLANK(Audit[[#This Row],[Audit Candidate 10]])), Audit[[#This Row],[Audit Candidate 10]]-Audit[[#This Row],[Candidate 10]], "")</f>
        <v/>
      </c>
      <c r="AO167" s="114" t="str">
        <f>IF(NOT(ISBLANK(Audit[[#This Row],[Audit Candidate 11]])), Audit[[#This Row],[Audit Candidate 11]]-Audit[[#This Row],[Candidate 11]], "")</f>
        <v/>
      </c>
      <c r="AP167" s="114" t="str">
        <f>IF(NOT(ISBLANK(Audit[[#This Row],[Audit Candidate 12]])), Audit[[#This Row],[Audit Candidate 12]]-Audit[[#This Row],[Candidate 12]], "")</f>
        <v/>
      </c>
      <c r="AQ167" s="114">
        <f>SUMIF(Audit[[#This Row],[Difference Winner]:[Difference Candidate 12]], "&gt;0")</f>
        <v>0</v>
      </c>
      <c r="AR167" s="114">
        <f>SUM(Audit[[#This Row],[Difference Winner]:[Difference Candidate 12]])</f>
        <v>0</v>
      </c>
      <c r="AS167" s="114">
        <f>IF(Audit[[#This Row],[Times p Drawn - With Replacement]]&gt;0, IF(Audit[[#This Row],[Canceled Differences]]&lt;0, Audit[[#This Row],[Max Differences]]+ABS(Audit[[#This Row],[Canceled Differences]]), Audit[[#This Row],[Max Differences]]), 0)</f>
        <v>0</v>
      </c>
      <c r="AT167" s="114">
        <f>'Sampling Data'!AB167</f>
        <v>9.0313840596071345E-4</v>
      </c>
      <c r="AU167" s="114">
        <f>IF(
      SUM(Audit[[#This Row],[Audit Losing Candidate]:[Audit Candidate 12]])
      &lt;&gt;0,
      (Audit[[#This Row],[Winning Candidate]]-Audit[[#This Row],[Losing Candidate]]-(Audit[[#This Row],[Audit Winning Candidate]]-Audit[[#This Row],[Audit Losing Candidate]]))/(Audit[[#Totals],[Winning Candidate]]-Audit[[#Totals],[Losing Candidate]]),
      0
)</f>
        <v>0</v>
      </c>
      <c r="AV1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7" s="114">
        <f>IF(Audit[[#This Row],[Max Relative Error (ep)]] = 0, 0, Audit[[#This Row],[Max Relative Error (ep)]]/Audit[[#This Row],[Error Bound (up) - Max. possible relative overstatement]])</f>
        <v>0</v>
      </c>
      <c r="BH1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7" s="114">
        <f t="shared" si="3"/>
        <v>1</v>
      </c>
      <c r="BJ167" s="114">
        <f>PRODUCT($BI$5:BI167)</f>
        <v>0.20973752198051165</v>
      </c>
      <c r="BK167" s="112">
        <f>1 - Audit[[#This Row],[K-M P Value]]</f>
        <v>0.79026247801948835</v>
      </c>
      <c r="BL167" s="114" t="str">
        <f>IF(Audit[[#This Row],[K-M P Value]]&gt;1-'General Info'!$B$12,"Continue", "Stop")</f>
        <v>Continue</v>
      </c>
      <c r="BM167" s="113" t="b">
        <f>IF(Audit[[#This Row],[Status - Continue or stop audit]] = "Continue", TRUE, IF(BL166 = "Continue", TRUE, FALSE))</f>
        <v>1</v>
      </c>
      <c r="BN167" s="113"/>
    </row>
    <row r="168" spans="1:66" ht="15" hidden="1" customHeight="1" x14ac:dyDescent="0.35">
      <c r="A168" s="114" t="str">
        <f>'Sampling Data'!AI168</f>
        <v/>
      </c>
      <c r="B168" s="114" t="str">
        <f>'Sampling Data'!A168</f>
        <v>2505 CIN 25-E   (AV)</v>
      </c>
      <c r="C168" s="114">
        <f>'Sampling Data'!B168</f>
        <v>6</v>
      </c>
      <c r="D168" s="114">
        <f>'Sampling Data'!C168</f>
        <v>3</v>
      </c>
      <c r="E168" s="115">
        <f>'Sampling Data'!D168</f>
        <v>3</v>
      </c>
      <c r="F168" s="115">
        <f>'Sampling Data'!E168</f>
        <v>0</v>
      </c>
      <c r="G168" s="115">
        <f>'Sampling Data'!F168</f>
        <v>0</v>
      </c>
      <c r="H168" s="115">
        <f>'Sampling Data'!G168</f>
        <v>0</v>
      </c>
      <c r="I168" s="115">
        <f>'Sampling Data'!H168</f>
        <v>0</v>
      </c>
      <c r="J168" s="115">
        <f>'Sampling Data'!I168</f>
        <v>0</v>
      </c>
      <c r="K168" s="115">
        <f>'Sampling Data'!J168</f>
        <v>0</v>
      </c>
      <c r="L168" s="115">
        <f>'Sampling Data'!K168</f>
        <v>0</v>
      </c>
      <c r="M168" s="115">
        <f>'Sampling Data'!L168</f>
        <v>0</v>
      </c>
      <c r="N168" s="115">
        <f>'Sampling Data'!M168</f>
        <v>0</v>
      </c>
      <c r="O168" s="114">
        <f>'Sampling Data'!N168</f>
        <v>0</v>
      </c>
      <c r="P168" s="114">
        <f>'Sampling Data'!O168</f>
        <v>0</v>
      </c>
      <c r="Q168" s="114">
        <f>'Sampling Data'!P168</f>
        <v>12</v>
      </c>
      <c r="R168" s="114">
        <f>'Sampling Data'!AJ168</f>
        <v>0</v>
      </c>
      <c r="S168" s="116"/>
      <c r="T168" s="116"/>
      <c r="U168" s="117"/>
      <c r="V168" s="117"/>
      <c r="W168" s="116"/>
      <c r="X168" s="116"/>
      <c r="Y168" s="116"/>
      <c r="Z168" s="116"/>
      <c r="AA168" s="15"/>
      <c r="AB168" s="15"/>
      <c r="AC168" s="15"/>
      <c r="AD168" s="15"/>
      <c r="AE168" s="118" t="str">
        <f>IF(NOT(ISBLANK(Audit[[#This Row],[Audit Winning Candidate]])), Audit[[#This Row],[Audit Winning Candidate]]-Audit[[#This Row],[Winning Candidate]], "")</f>
        <v/>
      </c>
      <c r="AF168" s="114" t="str">
        <f>IF(NOT(ISBLANK(Audit[[#This Row],[Audit Losing Candidate]])), Audit[[#This Row],[Audit Losing Candidate]]-Audit[[#This Row],[Losing Candidate]], "")</f>
        <v/>
      </c>
      <c r="AG168" s="114" t="str">
        <f>IF(NOT(ISBLANK(Audit[[#This Row],[Audit Candidate 3]])), Audit[[#This Row],[Audit Candidate 3]]-Audit[[#This Row],[Candidate 3]], "")</f>
        <v/>
      </c>
      <c r="AH168" s="114" t="str">
        <f>IF(NOT(ISBLANK(Audit[[#This Row],[Audit Candidate 4]])),Audit[[#This Row],[Audit Candidate 4]]-Audit[[#This Row],[Candidate 4]], "")</f>
        <v/>
      </c>
      <c r="AI168" s="114" t="str">
        <f>IF(NOT(ISBLANK(Audit[[#This Row],[Audit Candidate 5]])), Audit[[#This Row],[Audit Candidate 5]]-Audit[[#This Row],[Candidate 5]], "")</f>
        <v/>
      </c>
      <c r="AJ168" s="114" t="str">
        <f>IF(NOT(ISBLANK(Audit[[#This Row],[Audit Candidate 6]])), Audit[[#This Row],[Audit Candidate 6]]-Audit[[#This Row],[Candidate 6]], "")</f>
        <v/>
      </c>
      <c r="AK168" s="114" t="str">
        <f>IF(NOT(ISBLANK(Audit[[#This Row],[Audit Candidate 7]])), Audit[[#This Row],[Audit Candidate 7]]-Audit[[#This Row],[Candidate 7]], "")</f>
        <v/>
      </c>
      <c r="AL168" s="114" t="str">
        <f>IF(NOT(ISBLANK(Audit[[#This Row],[Audit Candidate 8]])), Audit[[#This Row],[Audit Candidate 8]]-Audit[[#This Row],[Candidate 8]], "")</f>
        <v/>
      </c>
      <c r="AM168" s="114" t="str">
        <f>IF(NOT(ISBLANK(Audit[[#This Row],[Audit Candidate 9]])), Audit[[#This Row],[Audit Candidate 9]]-Audit[[#This Row],[Candidate 9]], "")</f>
        <v/>
      </c>
      <c r="AN168" s="114" t="str">
        <f>IF(NOT(ISBLANK(Audit[[#This Row],[Audit Candidate 10]])), Audit[[#This Row],[Audit Candidate 10]]-Audit[[#This Row],[Candidate 10]], "")</f>
        <v/>
      </c>
      <c r="AO168" s="114" t="str">
        <f>IF(NOT(ISBLANK(Audit[[#This Row],[Audit Candidate 11]])), Audit[[#This Row],[Audit Candidate 11]]-Audit[[#This Row],[Candidate 11]], "")</f>
        <v/>
      </c>
      <c r="AP168" s="114" t="str">
        <f>IF(NOT(ISBLANK(Audit[[#This Row],[Audit Candidate 12]])), Audit[[#This Row],[Audit Candidate 12]]-Audit[[#This Row],[Candidate 12]], "")</f>
        <v/>
      </c>
      <c r="AQ168" s="114">
        <f>SUMIF(Audit[[#This Row],[Difference Winner]:[Difference Candidate 12]], "&gt;0")</f>
        <v>0</v>
      </c>
      <c r="AR168" s="114">
        <f>SUM(Audit[[#This Row],[Difference Winner]:[Difference Candidate 12]])</f>
        <v>0</v>
      </c>
      <c r="AS168" s="114">
        <f>IF(Audit[[#This Row],[Times p Drawn - With Replacement]]&gt;0, IF(Audit[[#This Row],[Canceled Differences]]&lt;0, Audit[[#This Row],[Max Differences]]+ABS(Audit[[#This Row],[Canceled Differences]]), Audit[[#This Row],[Max Differences]]), 0)</f>
        <v>0</v>
      </c>
      <c r="AT168" s="114">
        <f>'Sampling Data'!AB168</f>
        <v>9.4810694646356105E-4</v>
      </c>
      <c r="AU168" s="114">
        <f>IF(
      SUM(Audit[[#This Row],[Audit Losing Candidate]:[Audit Candidate 12]])
      &lt;&gt;0,
      (Audit[[#This Row],[Winning Candidate]]-Audit[[#This Row],[Losing Candidate]]-(Audit[[#This Row],[Audit Winning Candidate]]-Audit[[#This Row],[Audit Losing Candidate]]))/(Audit[[#Totals],[Winning Candidate]]-Audit[[#Totals],[Losing Candidate]]),
      0
)</f>
        <v>0</v>
      </c>
      <c r="AV1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8" s="114">
        <f>IF(Audit[[#This Row],[Max Relative Error (ep)]] = 0, 0, Audit[[#This Row],[Max Relative Error (ep)]]/Audit[[#This Row],[Error Bound (up) - Max. possible relative overstatement]])</f>
        <v>0</v>
      </c>
      <c r="BH1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8" s="114">
        <f t="shared" si="3"/>
        <v>1</v>
      </c>
      <c r="BJ168" s="114">
        <f>PRODUCT($BI$5:BI168)</f>
        <v>0.20973752198051165</v>
      </c>
      <c r="BK168" s="112">
        <f>1 - Audit[[#This Row],[K-M P Value]]</f>
        <v>0.79026247801948835</v>
      </c>
      <c r="BL168" s="114" t="str">
        <f>IF(Audit[[#This Row],[K-M P Value]]&gt;1-'General Info'!$B$12,"Continue", "Stop")</f>
        <v>Continue</v>
      </c>
      <c r="BM168" s="113" t="b">
        <f>IF(Audit[[#This Row],[Status - Continue or stop audit]] = "Continue", TRUE, IF(BL167 = "Continue", TRUE, FALSE))</f>
        <v>1</v>
      </c>
      <c r="BN168" s="113"/>
    </row>
    <row r="169" spans="1:66" ht="15" hidden="1" customHeight="1" x14ac:dyDescent="0.35">
      <c r="A169" s="114" t="str">
        <f>'Sampling Data'!AI169</f>
        <v/>
      </c>
      <c r="B169" s="114" t="str">
        <f>'Sampling Data'!A169</f>
        <v>2506 CIN 25-F   (AV)</v>
      </c>
      <c r="C169" s="114">
        <f>'Sampling Data'!B169</f>
        <v>12</v>
      </c>
      <c r="D169" s="114">
        <f>'Sampling Data'!C169</f>
        <v>1</v>
      </c>
      <c r="E169" s="115">
        <f>'Sampling Data'!D169</f>
        <v>1</v>
      </c>
      <c r="F169" s="115">
        <f>'Sampling Data'!E169</f>
        <v>0</v>
      </c>
      <c r="G169" s="115">
        <f>'Sampling Data'!F169</f>
        <v>0</v>
      </c>
      <c r="H169" s="115">
        <f>'Sampling Data'!G169</f>
        <v>0</v>
      </c>
      <c r="I169" s="115">
        <f>'Sampling Data'!H169</f>
        <v>0</v>
      </c>
      <c r="J169" s="115">
        <f>'Sampling Data'!I169</f>
        <v>0</v>
      </c>
      <c r="K169" s="115">
        <f>'Sampling Data'!J169</f>
        <v>0</v>
      </c>
      <c r="L169" s="115">
        <f>'Sampling Data'!K169</f>
        <v>0</v>
      </c>
      <c r="M169" s="115">
        <f>'Sampling Data'!L169</f>
        <v>0</v>
      </c>
      <c r="N169" s="115">
        <f>'Sampling Data'!M169</f>
        <v>0</v>
      </c>
      <c r="O169" s="114">
        <f>'Sampling Data'!N169</f>
        <v>0</v>
      </c>
      <c r="P169" s="114">
        <f>'Sampling Data'!O169</f>
        <v>0</v>
      </c>
      <c r="Q169" s="114">
        <f>'Sampling Data'!P169</f>
        <v>14</v>
      </c>
      <c r="R169" s="114">
        <f>'Sampling Data'!AJ169</f>
        <v>0</v>
      </c>
      <c r="S169" s="116"/>
      <c r="T169" s="116"/>
      <c r="U169" s="117"/>
      <c r="V169" s="117"/>
      <c r="W169" s="116"/>
      <c r="X169" s="116"/>
      <c r="Y169" s="116"/>
      <c r="Z169" s="116"/>
      <c r="AA169" s="15"/>
      <c r="AB169" s="15"/>
      <c r="AC169" s="15"/>
      <c r="AD169" s="15"/>
      <c r="AE169" s="118" t="str">
        <f>IF(NOT(ISBLANK(Audit[[#This Row],[Audit Winning Candidate]])), Audit[[#This Row],[Audit Winning Candidate]]-Audit[[#This Row],[Winning Candidate]], "")</f>
        <v/>
      </c>
      <c r="AF169" s="114" t="str">
        <f>IF(NOT(ISBLANK(Audit[[#This Row],[Audit Losing Candidate]])), Audit[[#This Row],[Audit Losing Candidate]]-Audit[[#This Row],[Losing Candidate]], "")</f>
        <v/>
      </c>
      <c r="AG169" s="114" t="str">
        <f>IF(NOT(ISBLANK(Audit[[#This Row],[Audit Candidate 3]])), Audit[[#This Row],[Audit Candidate 3]]-Audit[[#This Row],[Candidate 3]], "")</f>
        <v/>
      </c>
      <c r="AH169" s="114" t="str">
        <f>IF(NOT(ISBLANK(Audit[[#This Row],[Audit Candidate 4]])),Audit[[#This Row],[Audit Candidate 4]]-Audit[[#This Row],[Candidate 4]], "")</f>
        <v/>
      </c>
      <c r="AI169" s="114" t="str">
        <f>IF(NOT(ISBLANK(Audit[[#This Row],[Audit Candidate 5]])), Audit[[#This Row],[Audit Candidate 5]]-Audit[[#This Row],[Candidate 5]], "")</f>
        <v/>
      </c>
      <c r="AJ169" s="114" t="str">
        <f>IF(NOT(ISBLANK(Audit[[#This Row],[Audit Candidate 6]])), Audit[[#This Row],[Audit Candidate 6]]-Audit[[#This Row],[Candidate 6]], "")</f>
        <v/>
      </c>
      <c r="AK169" s="114" t="str">
        <f>IF(NOT(ISBLANK(Audit[[#This Row],[Audit Candidate 7]])), Audit[[#This Row],[Audit Candidate 7]]-Audit[[#This Row],[Candidate 7]], "")</f>
        <v/>
      </c>
      <c r="AL169" s="114" t="str">
        <f>IF(NOT(ISBLANK(Audit[[#This Row],[Audit Candidate 8]])), Audit[[#This Row],[Audit Candidate 8]]-Audit[[#This Row],[Candidate 8]], "")</f>
        <v/>
      </c>
      <c r="AM169" s="114" t="str">
        <f>IF(NOT(ISBLANK(Audit[[#This Row],[Audit Candidate 9]])), Audit[[#This Row],[Audit Candidate 9]]-Audit[[#This Row],[Candidate 9]], "")</f>
        <v/>
      </c>
      <c r="AN169" s="114" t="str">
        <f>IF(NOT(ISBLANK(Audit[[#This Row],[Audit Candidate 10]])), Audit[[#This Row],[Audit Candidate 10]]-Audit[[#This Row],[Candidate 10]], "")</f>
        <v/>
      </c>
      <c r="AO169" s="114" t="str">
        <f>IF(NOT(ISBLANK(Audit[[#This Row],[Audit Candidate 11]])), Audit[[#This Row],[Audit Candidate 11]]-Audit[[#This Row],[Candidate 11]], "")</f>
        <v/>
      </c>
      <c r="AP169" s="114" t="str">
        <f>IF(NOT(ISBLANK(Audit[[#This Row],[Audit Candidate 12]])), Audit[[#This Row],[Audit Candidate 12]]-Audit[[#This Row],[Candidate 12]], "")</f>
        <v/>
      </c>
      <c r="AQ169" s="114">
        <f>SUMIF(Audit[[#This Row],[Difference Winner]:[Difference Candidate 12]], "&gt;0")</f>
        <v>0</v>
      </c>
      <c r="AR169" s="114">
        <f>SUM(Audit[[#This Row],[Difference Winner]:[Difference Candidate 12]])</f>
        <v>0</v>
      </c>
      <c r="AS169" s="114">
        <f>IF(Audit[[#This Row],[Times p Drawn - With Replacement]]&gt;0, IF(Audit[[#This Row],[Canceled Differences]]&lt;0, Audit[[#This Row],[Max Differences]]+ABS(Audit[[#This Row],[Canceled Differences]]), Audit[[#This Row],[Max Differences]]), 0)</f>
        <v>0</v>
      </c>
      <c r="AT169" s="114">
        <f>'Sampling Data'!AB169</f>
        <v>1.5801782441059351E-3</v>
      </c>
      <c r="AU169" s="114">
        <f>IF(
      SUM(Audit[[#This Row],[Audit Losing Candidate]:[Audit Candidate 12]])
      &lt;&gt;0,
      (Audit[[#This Row],[Winning Candidate]]-Audit[[#This Row],[Losing Candidate]]-(Audit[[#This Row],[Audit Winning Candidate]]-Audit[[#This Row],[Audit Losing Candidate]]))/(Audit[[#Totals],[Winning Candidate]]-Audit[[#Totals],[Losing Candidate]]),
      0
)</f>
        <v>0</v>
      </c>
      <c r="AV1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9" s="114">
        <f>IF(Audit[[#This Row],[Max Relative Error (ep)]] = 0, 0, Audit[[#This Row],[Max Relative Error (ep)]]/Audit[[#This Row],[Error Bound (up) - Max. possible relative overstatement]])</f>
        <v>0</v>
      </c>
      <c r="BH1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69" s="114">
        <f t="shared" si="3"/>
        <v>1</v>
      </c>
      <c r="BJ169" s="114">
        <f>PRODUCT($BI$5:BI169)</f>
        <v>0.20973752198051165</v>
      </c>
      <c r="BK169" s="112">
        <f>1 - Audit[[#This Row],[K-M P Value]]</f>
        <v>0.79026247801948835</v>
      </c>
      <c r="BL169" s="114" t="str">
        <f>IF(Audit[[#This Row],[K-M P Value]]&gt;1-'General Info'!$B$12,"Continue", "Stop")</f>
        <v>Continue</v>
      </c>
      <c r="BM169" s="113" t="b">
        <f>IF(Audit[[#This Row],[Status - Continue or stop audit]] = "Continue", TRUE, IF(BL168 = "Continue", TRUE, FALSE))</f>
        <v>1</v>
      </c>
      <c r="BN169" s="113"/>
    </row>
    <row r="170" spans="1:66" ht="15" hidden="1" customHeight="1" x14ac:dyDescent="0.35">
      <c r="A170" s="114" t="str">
        <f>'Sampling Data'!AI170</f>
        <v/>
      </c>
      <c r="B170" s="114" t="str">
        <f>'Sampling Data'!A170</f>
        <v>2507 CIN 25-G   (AV)</v>
      </c>
      <c r="C170" s="114">
        <f>'Sampling Data'!B170</f>
        <v>2</v>
      </c>
      <c r="D170" s="114">
        <f>'Sampling Data'!C170</f>
        <v>2</v>
      </c>
      <c r="E170" s="115">
        <f>'Sampling Data'!D170</f>
        <v>0</v>
      </c>
      <c r="F170" s="115">
        <f>'Sampling Data'!E170</f>
        <v>0</v>
      </c>
      <c r="G170" s="115">
        <f>'Sampling Data'!F170</f>
        <v>0</v>
      </c>
      <c r="H170" s="115">
        <f>'Sampling Data'!G170</f>
        <v>0</v>
      </c>
      <c r="I170" s="115">
        <f>'Sampling Data'!H170</f>
        <v>0</v>
      </c>
      <c r="J170" s="115">
        <f>'Sampling Data'!I170</f>
        <v>0</v>
      </c>
      <c r="K170" s="115">
        <f>'Sampling Data'!J170</f>
        <v>0</v>
      </c>
      <c r="L170" s="115">
        <f>'Sampling Data'!K170</f>
        <v>0</v>
      </c>
      <c r="M170" s="115">
        <f>'Sampling Data'!L170</f>
        <v>0</v>
      </c>
      <c r="N170" s="115">
        <f>'Sampling Data'!M170</f>
        <v>0</v>
      </c>
      <c r="O170" s="114">
        <f>'Sampling Data'!N170</f>
        <v>0</v>
      </c>
      <c r="P170" s="114">
        <f>'Sampling Data'!O170</f>
        <v>0</v>
      </c>
      <c r="Q170" s="114">
        <f>'Sampling Data'!P170</f>
        <v>4</v>
      </c>
      <c r="R170" s="114">
        <f>'Sampling Data'!AJ170</f>
        <v>0</v>
      </c>
      <c r="S170" s="116"/>
      <c r="T170" s="116"/>
      <c r="U170" s="117"/>
      <c r="V170" s="117"/>
      <c r="W170" s="116"/>
      <c r="X170" s="116"/>
      <c r="Y170" s="116"/>
      <c r="Z170" s="116"/>
      <c r="AA170" s="15"/>
      <c r="AB170" s="15"/>
      <c r="AC170" s="15"/>
      <c r="AD170" s="15"/>
      <c r="AE170" s="118" t="str">
        <f>IF(NOT(ISBLANK(Audit[[#This Row],[Audit Winning Candidate]])), Audit[[#This Row],[Audit Winning Candidate]]-Audit[[#This Row],[Winning Candidate]], "")</f>
        <v/>
      </c>
      <c r="AF170" s="114" t="str">
        <f>IF(NOT(ISBLANK(Audit[[#This Row],[Audit Losing Candidate]])), Audit[[#This Row],[Audit Losing Candidate]]-Audit[[#This Row],[Losing Candidate]], "")</f>
        <v/>
      </c>
      <c r="AG170" s="114" t="str">
        <f>IF(NOT(ISBLANK(Audit[[#This Row],[Audit Candidate 3]])), Audit[[#This Row],[Audit Candidate 3]]-Audit[[#This Row],[Candidate 3]], "")</f>
        <v/>
      </c>
      <c r="AH170" s="114" t="str">
        <f>IF(NOT(ISBLANK(Audit[[#This Row],[Audit Candidate 4]])),Audit[[#This Row],[Audit Candidate 4]]-Audit[[#This Row],[Candidate 4]], "")</f>
        <v/>
      </c>
      <c r="AI170" s="114" t="str">
        <f>IF(NOT(ISBLANK(Audit[[#This Row],[Audit Candidate 5]])), Audit[[#This Row],[Audit Candidate 5]]-Audit[[#This Row],[Candidate 5]], "")</f>
        <v/>
      </c>
      <c r="AJ170" s="114" t="str">
        <f>IF(NOT(ISBLANK(Audit[[#This Row],[Audit Candidate 6]])), Audit[[#This Row],[Audit Candidate 6]]-Audit[[#This Row],[Candidate 6]], "")</f>
        <v/>
      </c>
      <c r="AK170" s="114" t="str">
        <f>IF(NOT(ISBLANK(Audit[[#This Row],[Audit Candidate 7]])), Audit[[#This Row],[Audit Candidate 7]]-Audit[[#This Row],[Candidate 7]], "")</f>
        <v/>
      </c>
      <c r="AL170" s="114" t="str">
        <f>IF(NOT(ISBLANK(Audit[[#This Row],[Audit Candidate 8]])), Audit[[#This Row],[Audit Candidate 8]]-Audit[[#This Row],[Candidate 8]], "")</f>
        <v/>
      </c>
      <c r="AM170" s="114" t="str">
        <f>IF(NOT(ISBLANK(Audit[[#This Row],[Audit Candidate 9]])), Audit[[#This Row],[Audit Candidate 9]]-Audit[[#This Row],[Candidate 9]], "")</f>
        <v/>
      </c>
      <c r="AN170" s="114" t="str">
        <f>IF(NOT(ISBLANK(Audit[[#This Row],[Audit Candidate 10]])), Audit[[#This Row],[Audit Candidate 10]]-Audit[[#This Row],[Candidate 10]], "")</f>
        <v/>
      </c>
      <c r="AO170" s="114" t="str">
        <f>IF(NOT(ISBLANK(Audit[[#This Row],[Audit Candidate 11]])), Audit[[#This Row],[Audit Candidate 11]]-Audit[[#This Row],[Candidate 11]], "")</f>
        <v/>
      </c>
      <c r="AP170" s="114" t="str">
        <f>IF(NOT(ISBLANK(Audit[[#This Row],[Audit Candidate 12]])), Audit[[#This Row],[Audit Candidate 12]]-Audit[[#This Row],[Candidate 12]], "")</f>
        <v/>
      </c>
      <c r="AQ170" s="114">
        <f>SUMIF(Audit[[#This Row],[Difference Winner]:[Difference Candidate 12]], "&gt;0")</f>
        <v>0</v>
      </c>
      <c r="AR170" s="114">
        <f>SUM(Audit[[#This Row],[Difference Winner]:[Difference Candidate 12]])</f>
        <v>0</v>
      </c>
      <c r="AS170" s="114">
        <f>IF(Audit[[#This Row],[Times p Drawn - With Replacement]]&gt;0, IF(Audit[[#This Row],[Canceled Differences]]&lt;0, Audit[[#This Row],[Max Differences]]+ABS(Audit[[#This Row],[Canceled Differences]]), Audit[[#This Row],[Max Differences]]), 0)</f>
        <v>0</v>
      </c>
      <c r="AT170" s="114">
        <f>'Sampling Data'!AB170</f>
        <v>3.3867690223526756E-4</v>
      </c>
      <c r="AU170" s="114">
        <f>IF(
      SUM(Audit[[#This Row],[Audit Losing Candidate]:[Audit Candidate 12]])
      &lt;&gt;0,
      (Audit[[#This Row],[Winning Candidate]]-Audit[[#This Row],[Losing Candidate]]-(Audit[[#This Row],[Audit Winning Candidate]]-Audit[[#This Row],[Audit Losing Candidate]]))/(Audit[[#Totals],[Winning Candidate]]-Audit[[#Totals],[Losing Candidate]]),
      0
)</f>
        <v>0</v>
      </c>
      <c r="AV1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0" s="114">
        <f>IF(Audit[[#This Row],[Max Relative Error (ep)]] = 0, 0, Audit[[#This Row],[Max Relative Error (ep)]]/Audit[[#This Row],[Error Bound (up) - Max. possible relative overstatement]])</f>
        <v>0</v>
      </c>
      <c r="BH1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0" s="114">
        <f t="shared" si="3"/>
        <v>1</v>
      </c>
      <c r="BJ170" s="114">
        <f>PRODUCT($BI$5:BI170)</f>
        <v>0.20973752198051165</v>
      </c>
      <c r="BK170" s="112">
        <f>1 - Audit[[#This Row],[K-M P Value]]</f>
        <v>0.79026247801948835</v>
      </c>
      <c r="BL170" s="114" t="str">
        <f>IF(Audit[[#This Row],[K-M P Value]]&gt;1-'General Info'!$B$12,"Continue", "Stop")</f>
        <v>Continue</v>
      </c>
      <c r="BM170" s="113" t="b">
        <f>IF(Audit[[#This Row],[Status - Continue or stop audit]] = "Continue", TRUE, IF(BL169 = "Continue", TRUE, FALSE))</f>
        <v>1</v>
      </c>
      <c r="BN170" s="113"/>
    </row>
    <row r="171" spans="1:66" ht="15" hidden="1" customHeight="1" x14ac:dyDescent="0.35">
      <c r="A171" s="114" t="str">
        <f>'Sampling Data'!AI171</f>
        <v/>
      </c>
      <c r="B171" s="114" t="str">
        <f>'Sampling Data'!A171</f>
        <v>2508 CIN 25-H   (AV)</v>
      </c>
      <c r="C171" s="114">
        <f>'Sampling Data'!B171</f>
        <v>6</v>
      </c>
      <c r="D171" s="114">
        <f>'Sampling Data'!C171</f>
        <v>5</v>
      </c>
      <c r="E171" s="115">
        <f>'Sampling Data'!D171</f>
        <v>0</v>
      </c>
      <c r="F171" s="115">
        <f>'Sampling Data'!E171</f>
        <v>0</v>
      </c>
      <c r="G171" s="115">
        <f>'Sampling Data'!F171</f>
        <v>0</v>
      </c>
      <c r="H171" s="115">
        <f>'Sampling Data'!G171</f>
        <v>0</v>
      </c>
      <c r="I171" s="115">
        <f>'Sampling Data'!H171</f>
        <v>0</v>
      </c>
      <c r="J171" s="115">
        <f>'Sampling Data'!I171</f>
        <v>0</v>
      </c>
      <c r="K171" s="115">
        <f>'Sampling Data'!J171</f>
        <v>0</v>
      </c>
      <c r="L171" s="115">
        <f>'Sampling Data'!K171</f>
        <v>0</v>
      </c>
      <c r="M171" s="115">
        <f>'Sampling Data'!L171</f>
        <v>0</v>
      </c>
      <c r="N171" s="115">
        <f>'Sampling Data'!M171</f>
        <v>0</v>
      </c>
      <c r="O171" s="114">
        <f>'Sampling Data'!N171</f>
        <v>0</v>
      </c>
      <c r="P171" s="114">
        <f>'Sampling Data'!O171</f>
        <v>0</v>
      </c>
      <c r="Q171" s="114">
        <f>'Sampling Data'!P171</f>
        <v>11</v>
      </c>
      <c r="R171" s="114">
        <f>'Sampling Data'!AJ171</f>
        <v>0</v>
      </c>
      <c r="S171" s="116"/>
      <c r="T171" s="116"/>
      <c r="U171" s="117"/>
      <c r="V171" s="117"/>
      <c r="W171" s="116"/>
      <c r="X171" s="116"/>
      <c r="Y171" s="116"/>
      <c r="Z171" s="116"/>
      <c r="AA171" s="15"/>
      <c r="AB171" s="15"/>
      <c r="AC171" s="15"/>
      <c r="AD171" s="15"/>
      <c r="AE171" s="118" t="str">
        <f>IF(NOT(ISBLANK(Audit[[#This Row],[Audit Winning Candidate]])), Audit[[#This Row],[Audit Winning Candidate]]-Audit[[#This Row],[Winning Candidate]], "")</f>
        <v/>
      </c>
      <c r="AF171" s="114" t="str">
        <f>IF(NOT(ISBLANK(Audit[[#This Row],[Audit Losing Candidate]])), Audit[[#This Row],[Audit Losing Candidate]]-Audit[[#This Row],[Losing Candidate]], "")</f>
        <v/>
      </c>
      <c r="AG171" s="114" t="str">
        <f>IF(NOT(ISBLANK(Audit[[#This Row],[Audit Candidate 3]])), Audit[[#This Row],[Audit Candidate 3]]-Audit[[#This Row],[Candidate 3]], "")</f>
        <v/>
      </c>
      <c r="AH171" s="114" t="str">
        <f>IF(NOT(ISBLANK(Audit[[#This Row],[Audit Candidate 4]])),Audit[[#This Row],[Audit Candidate 4]]-Audit[[#This Row],[Candidate 4]], "")</f>
        <v/>
      </c>
      <c r="AI171" s="114" t="str">
        <f>IF(NOT(ISBLANK(Audit[[#This Row],[Audit Candidate 5]])), Audit[[#This Row],[Audit Candidate 5]]-Audit[[#This Row],[Candidate 5]], "")</f>
        <v/>
      </c>
      <c r="AJ171" s="114" t="str">
        <f>IF(NOT(ISBLANK(Audit[[#This Row],[Audit Candidate 6]])), Audit[[#This Row],[Audit Candidate 6]]-Audit[[#This Row],[Candidate 6]], "")</f>
        <v/>
      </c>
      <c r="AK171" s="114" t="str">
        <f>IF(NOT(ISBLANK(Audit[[#This Row],[Audit Candidate 7]])), Audit[[#This Row],[Audit Candidate 7]]-Audit[[#This Row],[Candidate 7]], "")</f>
        <v/>
      </c>
      <c r="AL171" s="114" t="str">
        <f>IF(NOT(ISBLANK(Audit[[#This Row],[Audit Candidate 8]])), Audit[[#This Row],[Audit Candidate 8]]-Audit[[#This Row],[Candidate 8]], "")</f>
        <v/>
      </c>
      <c r="AM171" s="114" t="str">
        <f>IF(NOT(ISBLANK(Audit[[#This Row],[Audit Candidate 9]])), Audit[[#This Row],[Audit Candidate 9]]-Audit[[#This Row],[Candidate 9]], "")</f>
        <v/>
      </c>
      <c r="AN171" s="114" t="str">
        <f>IF(NOT(ISBLANK(Audit[[#This Row],[Audit Candidate 10]])), Audit[[#This Row],[Audit Candidate 10]]-Audit[[#This Row],[Candidate 10]], "")</f>
        <v/>
      </c>
      <c r="AO171" s="114" t="str">
        <f>IF(NOT(ISBLANK(Audit[[#This Row],[Audit Candidate 11]])), Audit[[#This Row],[Audit Candidate 11]]-Audit[[#This Row],[Candidate 11]], "")</f>
        <v/>
      </c>
      <c r="AP171" s="114" t="str">
        <f>IF(NOT(ISBLANK(Audit[[#This Row],[Audit Candidate 12]])), Audit[[#This Row],[Audit Candidate 12]]-Audit[[#This Row],[Candidate 12]], "")</f>
        <v/>
      </c>
      <c r="AQ171" s="114">
        <f>SUMIF(Audit[[#This Row],[Difference Winner]:[Difference Candidate 12]], "&gt;0")</f>
        <v>0</v>
      </c>
      <c r="AR171" s="114">
        <f>SUM(Audit[[#This Row],[Difference Winner]:[Difference Candidate 12]])</f>
        <v>0</v>
      </c>
      <c r="AS171" s="114">
        <f>IF(Audit[[#This Row],[Times p Drawn - With Replacement]]&gt;0, IF(Audit[[#This Row],[Canceled Differences]]&lt;0, Audit[[#This Row],[Max Differences]]+ABS(Audit[[#This Row],[Canceled Differences]]), Audit[[#This Row],[Max Differences]]), 0)</f>
        <v>0</v>
      </c>
      <c r="AT171" s="114">
        <f>'Sampling Data'!AB171</f>
        <v>9.5958455633325809E-4</v>
      </c>
      <c r="AU171" s="114">
        <f>IF(
      SUM(Audit[[#This Row],[Audit Losing Candidate]:[Audit Candidate 12]])
      &lt;&gt;0,
      (Audit[[#This Row],[Winning Candidate]]-Audit[[#This Row],[Losing Candidate]]-(Audit[[#This Row],[Audit Winning Candidate]]-Audit[[#This Row],[Audit Losing Candidate]]))/(Audit[[#Totals],[Winning Candidate]]-Audit[[#Totals],[Losing Candidate]]),
      0
)</f>
        <v>0</v>
      </c>
      <c r="AV1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1" s="114">
        <f>IF(Audit[[#This Row],[Max Relative Error (ep)]] = 0, 0, Audit[[#This Row],[Max Relative Error (ep)]]/Audit[[#This Row],[Error Bound (up) - Max. possible relative overstatement]])</f>
        <v>0</v>
      </c>
      <c r="BH1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1" s="114">
        <f t="shared" si="3"/>
        <v>1</v>
      </c>
      <c r="BJ171" s="114">
        <f>PRODUCT($BI$5:BI171)</f>
        <v>0.20973752198051165</v>
      </c>
      <c r="BK171" s="112">
        <f>1 - Audit[[#This Row],[K-M P Value]]</f>
        <v>0.79026247801948835</v>
      </c>
      <c r="BL171" s="114" t="str">
        <f>IF(Audit[[#This Row],[K-M P Value]]&gt;1-'General Info'!$B$12,"Continue", "Stop")</f>
        <v>Continue</v>
      </c>
      <c r="BM171" s="113" t="b">
        <f>IF(Audit[[#This Row],[Status - Continue or stop audit]] = "Continue", TRUE, IF(BL170 = "Continue", TRUE, FALSE))</f>
        <v>1</v>
      </c>
      <c r="BN171" s="113"/>
    </row>
    <row r="172" spans="1:66" ht="15" hidden="1" customHeight="1" x14ac:dyDescent="0.35">
      <c r="A172" s="114" t="str">
        <f>'Sampling Data'!AI172</f>
        <v/>
      </c>
      <c r="B172" s="114" t="str">
        <f>'Sampling Data'!A172</f>
        <v>2509 CIN 25-I   (AV)</v>
      </c>
      <c r="C172" s="114">
        <f>'Sampling Data'!B172</f>
        <v>5</v>
      </c>
      <c r="D172" s="114">
        <f>'Sampling Data'!C172</f>
        <v>6</v>
      </c>
      <c r="E172" s="115">
        <f>'Sampling Data'!D172</f>
        <v>2</v>
      </c>
      <c r="F172" s="115">
        <f>'Sampling Data'!E172</f>
        <v>0</v>
      </c>
      <c r="G172" s="115">
        <f>'Sampling Data'!F172</f>
        <v>0</v>
      </c>
      <c r="H172" s="115">
        <f>'Sampling Data'!G172</f>
        <v>0</v>
      </c>
      <c r="I172" s="115">
        <f>'Sampling Data'!H172</f>
        <v>0</v>
      </c>
      <c r="J172" s="115">
        <f>'Sampling Data'!I172</f>
        <v>0</v>
      </c>
      <c r="K172" s="115">
        <f>'Sampling Data'!J172</f>
        <v>0</v>
      </c>
      <c r="L172" s="115">
        <f>'Sampling Data'!K172</f>
        <v>0</v>
      </c>
      <c r="M172" s="115">
        <f>'Sampling Data'!L172</f>
        <v>0</v>
      </c>
      <c r="N172" s="115">
        <f>'Sampling Data'!M172</f>
        <v>0</v>
      </c>
      <c r="O172" s="114">
        <f>'Sampling Data'!N172</f>
        <v>0</v>
      </c>
      <c r="P172" s="114">
        <f>'Sampling Data'!O172</f>
        <v>0</v>
      </c>
      <c r="Q172" s="114">
        <f>'Sampling Data'!P172</f>
        <v>13</v>
      </c>
      <c r="R172" s="114">
        <f>'Sampling Data'!AJ172</f>
        <v>0</v>
      </c>
      <c r="S172" s="116"/>
      <c r="T172" s="116"/>
      <c r="U172" s="117"/>
      <c r="V172" s="117"/>
      <c r="W172" s="116"/>
      <c r="X172" s="116"/>
      <c r="Y172" s="116"/>
      <c r="Z172" s="116"/>
      <c r="AA172" s="15"/>
      <c r="AB172" s="15"/>
      <c r="AC172" s="15"/>
      <c r="AD172" s="15"/>
      <c r="AE172" s="118" t="str">
        <f>IF(NOT(ISBLANK(Audit[[#This Row],[Audit Winning Candidate]])), Audit[[#This Row],[Audit Winning Candidate]]-Audit[[#This Row],[Winning Candidate]], "")</f>
        <v/>
      </c>
      <c r="AF172" s="114" t="str">
        <f>IF(NOT(ISBLANK(Audit[[#This Row],[Audit Losing Candidate]])), Audit[[#This Row],[Audit Losing Candidate]]-Audit[[#This Row],[Losing Candidate]], "")</f>
        <v/>
      </c>
      <c r="AG172" s="114" t="str">
        <f>IF(NOT(ISBLANK(Audit[[#This Row],[Audit Candidate 3]])), Audit[[#This Row],[Audit Candidate 3]]-Audit[[#This Row],[Candidate 3]], "")</f>
        <v/>
      </c>
      <c r="AH172" s="114" t="str">
        <f>IF(NOT(ISBLANK(Audit[[#This Row],[Audit Candidate 4]])),Audit[[#This Row],[Audit Candidate 4]]-Audit[[#This Row],[Candidate 4]], "")</f>
        <v/>
      </c>
      <c r="AI172" s="114" t="str">
        <f>IF(NOT(ISBLANK(Audit[[#This Row],[Audit Candidate 5]])), Audit[[#This Row],[Audit Candidate 5]]-Audit[[#This Row],[Candidate 5]], "")</f>
        <v/>
      </c>
      <c r="AJ172" s="114" t="str">
        <f>IF(NOT(ISBLANK(Audit[[#This Row],[Audit Candidate 6]])), Audit[[#This Row],[Audit Candidate 6]]-Audit[[#This Row],[Candidate 6]], "")</f>
        <v/>
      </c>
      <c r="AK172" s="114" t="str">
        <f>IF(NOT(ISBLANK(Audit[[#This Row],[Audit Candidate 7]])), Audit[[#This Row],[Audit Candidate 7]]-Audit[[#This Row],[Candidate 7]], "")</f>
        <v/>
      </c>
      <c r="AL172" s="114" t="str">
        <f>IF(NOT(ISBLANK(Audit[[#This Row],[Audit Candidate 8]])), Audit[[#This Row],[Audit Candidate 8]]-Audit[[#This Row],[Candidate 8]], "")</f>
        <v/>
      </c>
      <c r="AM172" s="114" t="str">
        <f>IF(NOT(ISBLANK(Audit[[#This Row],[Audit Candidate 9]])), Audit[[#This Row],[Audit Candidate 9]]-Audit[[#This Row],[Candidate 9]], "")</f>
        <v/>
      </c>
      <c r="AN172" s="114" t="str">
        <f>IF(NOT(ISBLANK(Audit[[#This Row],[Audit Candidate 10]])), Audit[[#This Row],[Audit Candidate 10]]-Audit[[#This Row],[Candidate 10]], "")</f>
        <v/>
      </c>
      <c r="AO172" s="114" t="str">
        <f>IF(NOT(ISBLANK(Audit[[#This Row],[Audit Candidate 11]])), Audit[[#This Row],[Audit Candidate 11]]-Audit[[#This Row],[Candidate 11]], "")</f>
        <v/>
      </c>
      <c r="AP172" s="114" t="str">
        <f>IF(NOT(ISBLANK(Audit[[#This Row],[Audit Candidate 12]])), Audit[[#This Row],[Audit Candidate 12]]-Audit[[#This Row],[Candidate 12]], "")</f>
        <v/>
      </c>
      <c r="AQ172" s="114">
        <f>SUMIF(Audit[[#This Row],[Difference Winner]:[Difference Candidate 12]], "&gt;0")</f>
        <v>0</v>
      </c>
      <c r="AR172" s="114">
        <f>SUM(Audit[[#This Row],[Difference Winner]:[Difference Candidate 12]])</f>
        <v>0</v>
      </c>
      <c r="AS172" s="114">
        <f>IF(Audit[[#This Row],[Times p Drawn - With Replacement]]&gt;0, IF(Audit[[#This Row],[Canceled Differences]]&lt;0, Audit[[#This Row],[Max Differences]]+ABS(Audit[[#This Row],[Canceled Differences]]), Audit[[#This Row],[Max Differences]]), 0)</f>
        <v>0</v>
      </c>
      <c r="AT172" s="114">
        <f>'Sampling Data'!AB172</f>
        <v>9.0313840596071345E-4</v>
      </c>
      <c r="AU172" s="114">
        <f>IF(
      SUM(Audit[[#This Row],[Audit Losing Candidate]:[Audit Candidate 12]])
      &lt;&gt;0,
      (Audit[[#This Row],[Winning Candidate]]-Audit[[#This Row],[Losing Candidate]]-(Audit[[#This Row],[Audit Winning Candidate]]-Audit[[#This Row],[Audit Losing Candidate]]))/(Audit[[#Totals],[Winning Candidate]]-Audit[[#Totals],[Losing Candidate]]),
      0
)</f>
        <v>0</v>
      </c>
      <c r="AV1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2" s="114">
        <f>IF(Audit[[#This Row],[Max Relative Error (ep)]] = 0, 0, Audit[[#This Row],[Max Relative Error (ep)]]/Audit[[#This Row],[Error Bound (up) - Max. possible relative overstatement]])</f>
        <v>0</v>
      </c>
      <c r="BH1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2" s="114">
        <f t="shared" si="3"/>
        <v>1</v>
      </c>
      <c r="BJ172" s="114">
        <f>PRODUCT($BI$5:BI172)</f>
        <v>0.20973752198051165</v>
      </c>
      <c r="BK172" s="112">
        <f>1 - Audit[[#This Row],[K-M P Value]]</f>
        <v>0.79026247801948835</v>
      </c>
      <c r="BL172" s="114" t="str">
        <f>IF(Audit[[#This Row],[K-M P Value]]&gt;1-'General Info'!$B$12,"Continue", "Stop")</f>
        <v>Continue</v>
      </c>
      <c r="BM172" s="113" t="b">
        <f>IF(Audit[[#This Row],[Status - Continue or stop audit]] = "Continue", TRUE, IF(BL171 = "Continue", TRUE, FALSE))</f>
        <v>1</v>
      </c>
      <c r="BN172" s="113"/>
    </row>
    <row r="173" spans="1:66" ht="15" hidden="1" customHeight="1" x14ac:dyDescent="0.35">
      <c r="A173" s="114" t="str">
        <f>'Sampling Data'!AI173</f>
        <v/>
      </c>
      <c r="B173" s="114" t="str">
        <f>'Sampling Data'!A173</f>
        <v>2510 CIN 25-J   (AV)</v>
      </c>
      <c r="C173" s="114">
        <f>'Sampling Data'!B173</f>
        <v>10</v>
      </c>
      <c r="D173" s="114">
        <f>'Sampling Data'!C173</f>
        <v>2</v>
      </c>
      <c r="E173" s="115">
        <f>'Sampling Data'!D173</f>
        <v>1</v>
      </c>
      <c r="F173" s="115">
        <f>'Sampling Data'!E173</f>
        <v>0</v>
      </c>
      <c r="G173" s="115">
        <f>'Sampling Data'!F173</f>
        <v>0</v>
      </c>
      <c r="H173" s="115">
        <f>'Sampling Data'!G173</f>
        <v>0</v>
      </c>
      <c r="I173" s="115">
        <f>'Sampling Data'!H173</f>
        <v>0</v>
      </c>
      <c r="J173" s="115">
        <f>'Sampling Data'!I173</f>
        <v>0</v>
      </c>
      <c r="K173" s="115">
        <f>'Sampling Data'!J173</f>
        <v>0</v>
      </c>
      <c r="L173" s="115">
        <f>'Sampling Data'!K173</f>
        <v>0</v>
      </c>
      <c r="M173" s="115">
        <f>'Sampling Data'!L173</f>
        <v>0</v>
      </c>
      <c r="N173" s="115">
        <f>'Sampling Data'!M173</f>
        <v>0</v>
      </c>
      <c r="O173" s="114">
        <f>'Sampling Data'!N173</f>
        <v>0</v>
      </c>
      <c r="P173" s="114">
        <f>'Sampling Data'!O173</f>
        <v>0</v>
      </c>
      <c r="Q173" s="114">
        <f>'Sampling Data'!P173</f>
        <v>13</v>
      </c>
      <c r="R173" s="114">
        <f>'Sampling Data'!AJ173</f>
        <v>0</v>
      </c>
      <c r="S173" s="116"/>
      <c r="T173" s="116"/>
      <c r="U173" s="117"/>
      <c r="V173" s="117"/>
      <c r="W173" s="116"/>
      <c r="X173" s="116"/>
      <c r="Y173" s="116"/>
      <c r="Z173" s="116"/>
      <c r="AA173" s="15"/>
      <c r="AB173" s="15"/>
      <c r="AC173" s="15"/>
      <c r="AD173" s="15"/>
      <c r="AE173" s="118" t="str">
        <f>IF(NOT(ISBLANK(Audit[[#This Row],[Audit Winning Candidate]])), Audit[[#This Row],[Audit Winning Candidate]]-Audit[[#This Row],[Winning Candidate]], "")</f>
        <v/>
      </c>
      <c r="AF173" s="114" t="str">
        <f>IF(NOT(ISBLANK(Audit[[#This Row],[Audit Losing Candidate]])), Audit[[#This Row],[Audit Losing Candidate]]-Audit[[#This Row],[Losing Candidate]], "")</f>
        <v/>
      </c>
      <c r="AG173" s="114" t="str">
        <f>IF(NOT(ISBLANK(Audit[[#This Row],[Audit Candidate 3]])), Audit[[#This Row],[Audit Candidate 3]]-Audit[[#This Row],[Candidate 3]], "")</f>
        <v/>
      </c>
      <c r="AH173" s="114" t="str">
        <f>IF(NOT(ISBLANK(Audit[[#This Row],[Audit Candidate 4]])),Audit[[#This Row],[Audit Candidate 4]]-Audit[[#This Row],[Candidate 4]], "")</f>
        <v/>
      </c>
      <c r="AI173" s="114" t="str">
        <f>IF(NOT(ISBLANK(Audit[[#This Row],[Audit Candidate 5]])), Audit[[#This Row],[Audit Candidate 5]]-Audit[[#This Row],[Candidate 5]], "")</f>
        <v/>
      </c>
      <c r="AJ173" s="114" t="str">
        <f>IF(NOT(ISBLANK(Audit[[#This Row],[Audit Candidate 6]])), Audit[[#This Row],[Audit Candidate 6]]-Audit[[#This Row],[Candidate 6]], "")</f>
        <v/>
      </c>
      <c r="AK173" s="114" t="str">
        <f>IF(NOT(ISBLANK(Audit[[#This Row],[Audit Candidate 7]])), Audit[[#This Row],[Audit Candidate 7]]-Audit[[#This Row],[Candidate 7]], "")</f>
        <v/>
      </c>
      <c r="AL173" s="114" t="str">
        <f>IF(NOT(ISBLANK(Audit[[#This Row],[Audit Candidate 8]])), Audit[[#This Row],[Audit Candidate 8]]-Audit[[#This Row],[Candidate 8]], "")</f>
        <v/>
      </c>
      <c r="AM173" s="114" t="str">
        <f>IF(NOT(ISBLANK(Audit[[#This Row],[Audit Candidate 9]])), Audit[[#This Row],[Audit Candidate 9]]-Audit[[#This Row],[Candidate 9]], "")</f>
        <v/>
      </c>
      <c r="AN173" s="114" t="str">
        <f>IF(NOT(ISBLANK(Audit[[#This Row],[Audit Candidate 10]])), Audit[[#This Row],[Audit Candidate 10]]-Audit[[#This Row],[Candidate 10]], "")</f>
        <v/>
      </c>
      <c r="AO173" s="114" t="str">
        <f>IF(NOT(ISBLANK(Audit[[#This Row],[Audit Candidate 11]])), Audit[[#This Row],[Audit Candidate 11]]-Audit[[#This Row],[Candidate 11]], "")</f>
        <v/>
      </c>
      <c r="AP173" s="114" t="str">
        <f>IF(NOT(ISBLANK(Audit[[#This Row],[Audit Candidate 12]])), Audit[[#This Row],[Audit Candidate 12]]-Audit[[#This Row],[Candidate 12]], "")</f>
        <v/>
      </c>
      <c r="AQ173" s="114">
        <f>SUMIF(Audit[[#This Row],[Difference Winner]:[Difference Candidate 12]], "&gt;0")</f>
        <v>0</v>
      </c>
      <c r="AR173" s="114">
        <f>SUM(Audit[[#This Row],[Difference Winner]:[Difference Candidate 12]])</f>
        <v>0</v>
      </c>
      <c r="AS173" s="114">
        <f>IF(Audit[[#This Row],[Times p Drawn - With Replacement]]&gt;0, IF(Audit[[#This Row],[Canceled Differences]]&lt;0, Audit[[#This Row],[Max Differences]]+ABS(Audit[[#This Row],[Canceled Differences]]), Audit[[#This Row],[Max Differences]]), 0)</f>
        <v>0</v>
      </c>
      <c r="AT173" s="114">
        <f>'Sampling Data'!AB173</f>
        <v>1.3273497250489855E-3</v>
      </c>
      <c r="AU173" s="114">
        <f>IF(
      SUM(Audit[[#This Row],[Audit Losing Candidate]:[Audit Candidate 12]])
      &lt;&gt;0,
      (Audit[[#This Row],[Winning Candidate]]-Audit[[#This Row],[Losing Candidate]]-(Audit[[#This Row],[Audit Winning Candidate]]-Audit[[#This Row],[Audit Losing Candidate]]))/(Audit[[#Totals],[Winning Candidate]]-Audit[[#Totals],[Losing Candidate]]),
      0
)</f>
        <v>0</v>
      </c>
      <c r="AV1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3" s="114">
        <f>IF(Audit[[#This Row],[Max Relative Error (ep)]] = 0, 0, Audit[[#This Row],[Max Relative Error (ep)]]/Audit[[#This Row],[Error Bound (up) - Max. possible relative overstatement]])</f>
        <v>0</v>
      </c>
      <c r="BH1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3" s="114">
        <f t="shared" si="3"/>
        <v>1</v>
      </c>
      <c r="BJ173" s="114">
        <f>PRODUCT($BI$5:BI173)</f>
        <v>0.20973752198051165</v>
      </c>
      <c r="BK173" s="112">
        <f>1 - Audit[[#This Row],[K-M P Value]]</f>
        <v>0.79026247801948835</v>
      </c>
      <c r="BL173" s="114" t="str">
        <f>IF(Audit[[#This Row],[K-M P Value]]&gt;1-'General Info'!$B$12,"Continue", "Stop")</f>
        <v>Continue</v>
      </c>
      <c r="BM173" s="113" t="b">
        <f>IF(Audit[[#This Row],[Status - Continue or stop audit]] = "Continue", TRUE, IF(BL172 = "Continue", TRUE, FALSE))</f>
        <v>1</v>
      </c>
      <c r="BN173" s="113"/>
    </row>
    <row r="174" spans="1:66" ht="15" hidden="1" customHeight="1" x14ac:dyDescent="0.35">
      <c r="A174" s="114" t="str">
        <f>'Sampling Data'!AI174</f>
        <v/>
      </c>
      <c r="B174" s="114" t="str">
        <f>'Sampling Data'!A174</f>
        <v>2511 CIN 25-K   (AV)</v>
      </c>
      <c r="C174" s="114">
        <f>'Sampling Data'!B174</f>
        <v>6</v>
      </c>
      <c r="D174" s="114">
        <f>'Sampling Data'!C174</f>
        <v>3</v>
      </c>
      <c r="E174" s="115">
        <f>'Sampling Data'!D174</f>
        <v>0</v>
      </c>
      <c r="F174" s="115">
        <f>'Sampling Data'!E174</f>
        <v>0</v>
      </c>
      <c r="G174" s="115">
        <f>'Sampling Data'!F174</f>
        <v>0</v>
      </c>
      <c r="H174" s="115">
        <f>'Sampling Data'!G174</f>
        <v>0</v>
      </c>
      <c r="I174" s="115">
        <f>'Sampling Data'!H174</f>
        <v>0</v>
      </c>
      <c r="J174" s="115">
        <f>'Sampling Data'!I174</f>
        <v>0</v>
      </c>
      <c r="K174" s="115">
        <f>'Sampling Data'!J174</f>
        <v>0</v>
      </c>
      <c r="L174" s="115">
        <f>'Sampling Data'!K174</f>
        <v>0</v>
      </c>
      <c r="M174" s="115">
        <f>'Sampling Data'!L174</f>
        <v>0</v>
      </c>
      <c r="N174" s="115">
        <f>'Sampling Data'!M174</f>
        <v>0</v>
      </c>
      <c r="O174" s="114">
        <f>'Sampling Data'!N174</f>
        <v>0</v>
      </c>
      <c r="P174" s="114">
        <f>'Sampling Data'!O174</f>
        <v>0</v>
      </c>
      <c r="Q174" s="114">
        <f>'Sampling Data'!P174</f>
        <v>9</v>
      </c>
      <c r="R174" s="114">
        <f>'Sampling Data'!AJ174</f>
        <v>0</v>
      </c>
      <c r="S174" s="116"/>
      <c r="T174" s="116"/>
      <c r="U174" s="117"/>
      <c r="V174" s="117"/>
      <c r="W174" s="116"/>
      <c r="X174" s="116"/>
      <c r="Y174" s="116"/>
      <c r="Z174" s="116"/>
      <c r="AA174" s="15"/>
      <c r="AB174" s="15"/>
      <c r="AC174" s="15"/>
      <c r="AD174" s="15"/>
      <c r="AE174" s="118" t="str">
        <f>IF(NOT(ISBLANK(Audit[[#This Row],[Audit Winning Candidate]])), Audit[[#This Row],[Audit Winning Candidate]]-Audit[[#This Row],[Winning Candidate]], "")</f>
        <v/>
      </c>
      <c r="AF174" s="114" t="str">
        <f>IF(NOT(ISBLANK(Audit[[#This Row],[Audit Losing Candidate]])), Audit[[#This Row],[Audit Losing Candidate]]-Audit[[#This Row],[Losing Candidate]], "")</f>
        <v/>
      </c>
      <c r="AG174" s="114" t="str">
        <f>IF(NOT(ISBLANK(Audit[[#This Row],[Audit Candidate 3]])), Audit[[#This Row],[Audit Candidate 3]]-Audit[[#This Row],[Candidate 3]], "")</f>
        <v/>
      </c>
      <c r="AH174" s="114" t="str">
        <f>IF(NOT(ISBLANK(Audit[[#This Row],[Audit Candidate 4]])),Audit[[#This Row],[Audit Candidate 4]]-Audit[[#This Row],[Candidate 4]], "")</f>
        <v/>
      </c>
      <c r="AI174" s="114" t="str">
        <f>IF(NOT(ISBLANK(Audit[[#This Row],[Audit Candidate 5]])), Audit[[#This Row],[Audit Candidate 5]]-Audit[[#This Row],[Candidate 5]], "")</f>
        <v/>
      </c>
      <c r="AJ174" s="114" t="str">
        <f>IF(NOT(ISBLANK(Audit[[#This Row],[Audit Candidate 6]])), Audit[[#This Row],[Audit Candidate 6]]-Audit[[#This Row],[Candidate 6]], "")</f>
        <v/>
      </c>
      <c r="AK174" s="114" t="str">
        <f>IF(NOT(ISBLANK(Audit[[#This Row],[Audit Candidate 7]])), Audit[[#This Row],[Audit Candidate 7]]-Audit[[#This Row],[Candidate 7]], "")</f>
        <v/>
      </c>
      <c r="AL174" s="114" t="str">
        <f>IF(NOT(ISBLANK(Audit[[#This Row],[Audit Candidate 8]])), Audit[[#This Row],[Audit Candidate 8]]-Audit[[#This Row],[Candidate 8]], "")</f>
        <v/>
      </c>
      <c r="AM174" s="114" t="str">
        <f>IF(NOT(ISBLANK(Audit[[#This Row],[Audit Candidate 9]])), Audit[[#This Row],[Audit Candidate 9]]-Audit[[#This Row],[Candidate 9]], "")</f>
        <v/>
      </c>
      <c r="AN174" s="114" t="str">
        <f>IF(NOT(ISBLANK(Audit[[#This Row],[Audit Candidate 10]])), Audit[[#This Row],[Audit Candidate 10]]-Audit[[#This Row],[Candidate 10]], "")</f>
        <v/>
      </c>
      <c r="AO174" s="114" t="str">
        <f>IF(NOT(ISBLANK(Audit[[#This Row],[Audit Candidate 11]])), Audit[[#This Row],[Audit Candidate 11]]-Audit[[#This Row],[Candidate 11]], "")</f>
        <v/>
      </c>
      <c r="AP174" s="114" t="str">
        <f>IF(NOT(ISBLANK(Audit[[#This Row],[Audit Candidate 12]])), Audit[[#This Row],[Audit Candidate 12]]-Audit[[#This Row],[Candidate 12]], "")</f>
        <v/>
      </c>
      <c r="AQ174" s="114">
        <f>SUMIF(Audit[[#This Row],[Difference Winner]:[Difference Candidate 12]], "&gt;0")</f>
        <v>0</v>
      </c>
      <c r="AR174" s="114">
        <f>SUM(Audit[[#This Row],[Difference Winner]:[Difference Candidate 12]])</f>
        <v>0</v>
      </c>
      <c r="AS174" s="114">
        <f>IF(Audit[[#This Row],[Times p Drawn - With Replacement]]&gt;0, IF(Audit[[#This Row],[Canceled Differences]]&lt;0, Audit[[#This Row],[Max Differences]]+ABS(Audit[[#This Row],[Canceled Differences]]), Audit[[#This Row],[Max Differences]]), 0)</f>
        <v>0</v>
      </c>
      <c r="AT174" s="114">
        <f>'Sampling Data'!AB174</f>
        <v>8.4669225558816892E-4</v>
      </c>
      <c r="AU174" s="114">
        <f>IF(
      SUM(Audit[[#This Row],[Audit Losing Candidate]:[Audit Candidate 12]])
      &lt;&gt;0,
      (Audit[[#This Row],[Winning Candidate]]-Audit[[#This Row],[Losing Candidate]]-(Audit[[#This Row],[Audit Winning Candidate]]-Audit[[#This Row],[Audit Losing Candidate]]))/(Audit[[#Totals],[Winning Candidate]]-Audit[[#Totals],[Losing Candidate]]),
      0
)</f>
        <v>0</v>
      </c>
      <c r="AV1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4" s="114">
        <f>IF(Audit[[#This Row],[Max Relative Error (ep)]] = 0, 0, Audit[[#This Row],[Max Relative Error (ep)]]/Audit[[#This Row],[Error Bound (up) - Max. possible relative overstatement]])</f>
        <v>0</v>
      </c>
      <c r="BH1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4" s="114">
        <f t="shared" si="3"/>
        <v>1</v>
      </c>
      <c r="BJ174" s="114">
        <f>PRODUCT($BI$5:BI174)</f>
        <v>0.20973752198051165</v>
      </c>
      <c r="BK174" s="112">
        <f>1 - Audit[[#This Row],[K-M P Value]]</f>
        <v>0.79026247801948835</v>
      </c>
      <c r="BL174" s="114" t="str">
        <f>IF(Audit[[#This Row],[K-M P Value]]&gt;1-'General Info'!$B$12,"Continue", "Stop")</f>
        <v>Continue</v>
      </c>
      <c r="BM174" s="113" t="b">
        <f>IF(Audit[[#This Row],[Status - Continue or stop audit]] = "Continue", TRUE, IF(BL173 = "Continue", TRUE, FALSE))</f>
        <v>1</v>
      </c>
      <c r="BN174" s="113"/>
    </row>
    <row r="175" spans="1:66" ht="15" hidden="1" customHeight="1" x14ac:dyDescent="0.35">
      <c r="A175" s="114" t="str">
        <f>'Sampling Data'!AI175</f>
        <v/>
      </c>
      <c r="B175" s="114" t="str">
        <f>'Sampling Data'!A175</f>
        <v>2512 CIN 25-L   (AV)</v>
      </c>
      <c r="C175" s="114">
        <f>'Sampling Data'!B175</f>
        <v>1</v>
      </c>
      <c r="D175" s="114">
        <f>'Sampling Data'!C175</f>
        <v>1</v>
      </c>
      <c r="E175" s="115">
        <f>'Sampling Data'!D175</f>
        <v>2</v>
      </c>
      <c r="F175" s="115">
        <f>'Sampling Data'!E175</f>
        <v>0</v>
      </c>
      <c r="G175" s="115">
        <f>'Sampling Data'!F175</f>
        <v>0</v>
      </c>
      <c r="H175" s="115">
        <f>'Sampling Data'!G175</f>
        <v>0</v>
      </c>
      <c r="I175" s="115">
        <f>'Sampling Data'!H175</f>
        <v>0</v>
      </c>
      <c r="J175" s="115">
        <f>'Sampling Data'!I175</f>
        <v>0</v>
      </c>
      <c r="K175" s="115">
        <f>'Sampling Data'!J175</f>
        <v>0</v>
      </c>
      <c r="L175" s="115">
        <f>'Sampling Data'!K175</f>
        <v>0</v>
      </c>
      <c r="M175" s="115">
        <f>'Sampling Data'!L175</f>
        <v>0</v>
      </c>
      <c r="N175" s="115">
        <f>'Sampling Data'!M175</f>
        <v>0</v>
      </c>
      <c r="O175" s="114">
        <f>'Sampling Data'!N175</f>
        <v>0</v>
      </c>
      <c r="P175" s="114">
        <f>'Sampling Data'!O175</f>
        <v>0</v>
      </c>
      <c r="Q175" s="114">
        <f>'Sampling Data'!P175</f>
        <v>4</v>
      </c>
      <c r="R175" s="114">
        <f>'Sampling Data'!AJ175</f>
        <v>0</v>
      </c>
      <c r="S175" s="116"/>
      <c r="T175" s="116"/>
      <c r="U175" s="117"/>
      <c r="V175" s="117"/>
      <c r="W175" s="116"/>
      <c r="X175" s="116"/>
      <c r="Y175" s="116"/>
      <c r="Z175" s="116"/>
      <c r="AA175" s="15"/>
      <c r="AB175" s="15"/>
      <c r="AC175" s="15"/>
      <c r="AD175" s="15"/>
      <c r="AE175" s="118" t="str">
        <f>IF(NOT(ISBLANK(Audit[[#This Row],[Audit Winning Candidate]])), Audit[[#This Row],[Audit Winning Candidate]]-Audit[[#This Row],[Winning Candidate]], "")</f>
        <v/>
      </c>
      <c r="AF175" s="114" t="str">
        <f>IF(NOT(ISBLANK(Audit[[#This Row],[Audit Losing Candidate]])), Audit[[#This Row],[Audit Losing Candidate]]-Audit[[#This Row],[Losing Candidate]], "")</f>
        <v/>
      </c>
      <c r="AG175" s="114" t="str">
        <f>IF(NOT(ISBLANK(Audit[[#This Row],[Audit Candidate 3]])), Audit[[#This Row],[Audit Candidate 3]]-Audit[[#This Row],[Candidate 3]], "")</f>
        <v/>
      </c>
      <c r="AH175" s="114" t="str">
        <f>IF(NOT(ISBLANK(Audit[[#This Row],[Audit Candidate 4]])),Audit[[#This Row],[Audit Candidate 4]]-Audit[[#This Row],[Candidate 4]], "")</f>
        <v/>
      </c>
      <c r="AI175" s="114" t="str">
        <f>IF(NOT(ISBLANK(Audit[[#This Row],[Audit Candidate 5]])), Audit[[#This Row],[Audit Candidate 5]]-Audit[[#This Row],[Candidate 5]], "")</f>
        <v/>
      </c>
      <c r="AJ175" s="114" t="str">
        <f>IF(NOT(ISBLANK(Audit[[#This Row],[Audit Candidate 6]])), Audit[[#This Row],[Audit Candidate 6]]-Audit[[#This Row],[Candidate 6]], "")</f>
        <v/>
      </c>
      <c r="AK175" s="114" t="str">
        <f>IF(NOT(ISBLANK(Audit[[#This Row],[Audit Candidate 7]])), Audit[[#This Row],[Audit Candidate 7]]-Audit[[#This Row],[Candidate 7]], "")</f>
        <v/>
      </c>
      <c r="AL175" s="114" t="str">
        <f>IF(NOT(ISBLANK(Audit[[#This Row],[Audit Candidate 8]])), Audit[[#This Row],[Audit Candidate 8]]-Audit[[#This Row],[Candidate 8]], "")</f>
        <v/>
      </c>
      <c r="AM175" s="114" t="str">
        <f>IF(NOT(ISBLANK(Audit[[#This Row],[Audit Candidate 9]])), Audit[[#This Row],[Audit Candidate 9]]-Audit[[#This Row],[Candidate 9]], "")</f>
        <v/>
      </c>
      <c r="AN175" s="114" t="str">
        <f>IF(NOT(ISBLANK(Audit[[#This Row],[Audit Candidate 10]])), Audit[[#This Row],[Audit Candidate 10]]-Audit[[#This Row],[Candidate 10]], "")</f>
        <v/>
      </c>
      <c r="AO175" s="114" t="str">
        <f>IF(NOT(ISBLANK(Audit[[#This Row],[Audit Candidate 11]])), Audit[[#This Row],[Audit Candidate 11]]-Audit[[#This Row],[Candidate 11]], "")</f>
        <v/>
      </c>
      <c r="AP175" s="114" t="str">
        <f>IF(NOT(ISBLANK(Audit[[#This Row],[Audit Candidate 12]])), Audit[[#This Row],[Audit Candidate 12]]-Audit[[#This Row],[Candidate 12]], "")</f>
        <v/>
      </c>
      <c r="AQ175" s="114">
        <f>SUMIF(Audit[[#This Row],[Difference Winner]:[Difference Candidate 12]], "&gt;0")</f>
        <v>0</v>
      </c>
      <c r="AR175" s="114">
        <f>SUM(Audit[[#This Row],[Difference Winner]:[Difference Candidate 12]])</f>
        <v>0</v>
      </c>
      <c r="AS175" s="114">
        <f>IF(Audit[[#This Row],[Times p Drawn - With Replacement]]&gt;0, IF(Audit[[#This Row],[Canceled Differences]]&lt;0, Audit[[#This Row],[Max Differences]]+ABS(Audit[[#This Row],[Canceled Differences]]), Audit[[#This Row],[Max Differences]]), 0)</f>
        <v>0</v>
      </c>
      <c r="AT175" s="114">
        <f>'Sampling Data'!AB175</f>
        <v>2.5282851905694963E-4</v>
      </c>
      <c r="AU175" s="114">
        <f>IF(
      SUM(Audit[[#This Row],[Audit Losing Candidate]:[Audit Candidate 12]])
      &lt;&gt;0,
      (Audit[[#This Row],[Winning Candidate]]-Audit[[#This Row],[Losing Candidate]]-(Audit[[#This Row],[Audit Winning Candidate]]-Audit[[#This Row],[Audit Losing Candidate]]))/(Audit[[#Totals],[Winning Candidate]]-Audit[[#Totals],[Losing Candidate]]),
      0
)</f>
        <v>0</v>
      </c>
      <c r="AV1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5" s="114">
        <f>IF(Audit[[#This Row],[Max Relative Error (ep)]] = 0, 0, Audit[[#This Row],[Max Relative Error (ep)]]/Audit[[#This Row],[Error Bound (up) - Max. possible relative overstatement]])</f>
        <v>0</v>
      </c>
      <c r="BH1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5" s="114">
        <f t="shared" si="3"/>
        <v>1</v>
      </c>
      <c r="BJ175" s="114">
        <f>PRODUCT($BI$5:BI175)</f>
        <v>0.20973752198051165</v>
      </c>
      <c r="BK175" s="112">
        <f>1 - Audit[[#This Row],[K-M P Value]]</f>
        <v>0.79026247801948835</v>
      </c>
      <c r="BL175" s="114" t="str">
        <f>IF(Audit[[#This Row],[K-M P Value]]&gt;1-'General Info'!$B$12,"Continue", "Stop")</f>
        <v>Continue</v>
      </c>
      <c r="BM175" s="113" t="b">
        <f>IF(Audit[[#This Row],[Status - Continue or stop audit]] = "Continue", TRUE, IF(BL174 = "Continue", TRUE, FALSE))</f>
        <v>1</v>
      </c>
      <c r="BN175" s="113"/>
    </row>
    <row r="176" spans="1:66" ht="15" hidden="1" customHeight="1" x14ac:dyDescent="0.35">
      <c r="A176" s="114" t="str">
        <f>'Sampling Data'!AI176</f>
        <v/>
      </c>
      <c r="B176" s="114" t="str">
        <f>'Sampling Data'!A176</f>
        <v>2601 CIN 26-A   (AV)</v>
      </c>
      <c r="C176" s="114">
        <f>'Sampling Data'!B176</f>
        <v>6</v>
      </c>
      <c r="D176" s="114">
        <f>'Sampling Data'!C176</f>
        <v>8</v>
      </c>
      <c r="E176" s="115">
        <f>'Sampling Data'!D176</f>
        <v>0</v>
      </c>
      <c r="F176" s="115">
        <f>'Sampling Data'!E176</f>
        <v>0</v>
      </c>
      <c r="G176" s="115">
        <f>'Sampling Data'!F176</f>
        <v>0</v>
      </c>
      <c r="H176" s="115">
        <f>'Sampling Data'!G176</f>
        <v>0</v>
      </c>
      <c r="I176" s="115">
        <f>'Sampling Data'!H176</f>
        <v>0</v>
      </c>
      <c r="J176" s="115">
        <f>'Sampling Data'!I176</f>
        <v>0</v>
      </c>
      <c r="K176" s="115">
        <f>'Sampling Data'!J176</f>
        <v>0</v>
      </c>
      <c r="L176" s="115">
        <f>'Sampling Data'!K176</f>
        <v>0</v>
      </c>
      <c r="M176" s="115">
        <f>'Sampling Data'!L176</f>
        <v>0</v>
      </c>
      <c r="N176" s="115">
        <f>'Sampling Data'!M176</f>
        <v>0</v>
      </c>
      <c r="O176" s="114">
        <f>'Sampling Data'!N176</f>
        <v>0</v>
      </c>
      <c r="P176" s="114">
        <f>'Sampling Data'!O176</f>
        <v>0</v>
      </c>
      <c r="Q176" s="114">
        <f>'Sampling Data'!P176</f>
        <v>14</v>
      </c>
      <c r="R176" s="114">
        <f>'Sampling Data'!AJ176</f>
        <v>0</v>
      </c>
      <c r="S176" s="116"/>
      <c r="T176" s="116"/>
      <c r="U176" s="117"/>
      <c r="V176" s="117"/>
      <c r="W176" s="116"/>
      <c r="X176" s="116"/>
      <c r="Y176" s="116"/>
      <c r="Z176" s="116"/>
      <c r="AA176" s="15"/>
      <c r="AB176" s="15"/>
      <c r="AC176" s="15"/>
      <c r="AD176" s="15"/>
      <c r="AE176" s="118" t="str">
        <f>IF(NOT(ISBLANK(Audit[[#This Row],[Audit Winning Candidate]])), Audit[[#This Row],[Audit Winning Candidate]]-Audit[[#This Row],[Winning Candidate]], "")</f>
        <v/>
      </c>
      <c r="AF176" s="114" t="str">
        <f>IF(NOT(ISBLANK(Audit[[#This Row],[Audit Losing Candidate]])), Audit[[#This Row],[Audit Losing Candidate]]-Audit[[#This Row],[Losing Candidate]], "")</f>
        <v/>
      </c>
      <c r="AG176" s="114" t="str">
        <f>IF(NOT(ISBLANK(Audit[[#This Row],[Audit Candidate 3]])), Audit[[#This Row],[Audit Candidate 3]]-Audit[[#This Row],[Candidate 3]], "")</f>
        <v/>
      </c>
      <c r="AH176" s="114" t="str">
        <f>IF(NOT(ISBLANK(Audit[[#This Row],[Audit Candidate 4]])),Audit[[#This Row],[Audit Candidate 4]]-Audit[[#This Row],[Candidate 4]], "")</f>
        <v/>
      </c>
      <c r="AI176" s="114" t="str">
        <f>IF(NOT(ISBLANK(Audit[[#This Row],[Audit Candidate 5]])), Audit[[#This Row],[Audit Candidate 5]]-Audit[[#This Row],[Candidate 5]], "")</f>
        <v/>
      </c>
      <c r="AJ176" s="114" t="str">
        <f>IF(NOT(ISBLANK(Audit[[#This Row],[Audit Candidate 6]])), Audit[[#This Row],[Audit Candidate 6]]-Audit[[#This Row],[Candidate 6]], "")</f>
        <v/>
      </c>
      <c r="AK176" s="114" t="str">
        <f>IF(NOT(ISBLANK(Audit[[#This Row],[Audit Candidate 7]])), Audit[[#This Row],[Audit Candidate 7]]-Audit[[#This Row],[Candidate 7]], "")</f>
        <v/>
      </c>
      <c r="AL176" s="114" t="str">
        <f>IF(NOT(ISBLANK(Audit[[#This Row],[Audit Candidate 8]])), Audit[[#This Row],[Audit Candidate 8]]-Audit[[#This Row],[Candidate 8]], "")</f>
        <v/>
      </c>
      <c r="AM176" s="114" t="str">
        <f>IF(NOT(ISBLANK(Audit[[#This Row],[Audit Candidate 9]])), Audit[[#This Row],[Audit Candidate 9]]-Audit[[#This Row],[Candidate 9]], "")</f>
        <v/>
      </c>
      <c r="AN176" s="114" t="str">
        <f>IF(NOT(ISBLANK(Audit[[#This Row],[Audit Candidate 10]])), Audit[[#This Row],[Audit Candidate 10]]-Audit[[#This Row],[Candidate 10]], "")</f>
        <v/>
      </c>
      <c r="AO176" s="114" t="str">
        <f>IF(NOT(ISBLANK(Audit[[#This Row],[Audit Candidate 11]])), Audit[[#This Row],[Audit Candidate 11]]-Audit[[#This Row],[Candidate 11]], "")</f>
        <v/>
      </c>
      <c r="AP176" s="114" t="str">
        <f>IF(NOT(ISBLANK(Audit[[#This Row],[Audit Candidate 12]])), Audit[[#This Row],[Audit Candidate 12]]-Audit[[#This Row],[Candidate 12]], "")</f>
        <v/>
      </c>
      <c r="AQ176" s="114">
        <f>SUMIF(Audit[[#This Row],[Difference Winner]:[Difference Candidate 12]], "&gt;0")</f>
        <v>0</v>
      </c>
      <c r="AR176" s="114">
        <f>SUM(Audit[[#This Row],[Difference Winner]:[Difference Candidate 12]])</f>
        <v>0</v>
      </c>
      <c r="AS176" s="114">
        <f>IF(Audit[[#This Row],[Times p Drawn - With Replacement]]&gt;0, IF(Audit[[#This Row],[Canceled Differences]]&lt;0, Audit[[#This Row],[Max Differences]]+ABS(Audit[[#This Row],[Canceled Differences]]), Audit[[#This Row],[Max Differences]]), 0)</f>
        <v>0</v>
      </c>
      <c r="AT176" s="114">
        <f>'Sampling Data'!AB176</f>
        <v>1.1289230074508919E-3</v>
      </c>
      <c r="AU176" s="114">
        <f>IF(
      SUM(Audit[[#This Row],[Audit Losing Candidate]:[Audit Candidate 12]])
      &lt;&gt;0,
      (Audit[[#This Row],[Winning Candidate]]-Audit[[#This Row],[Losing Candidate]]-(Audit[[#This Row],[Audit Winning Candidate]]-Audit[[#This Row],[Audit Losing Candidate]]))/(Audit[[#Totals],[Winning Candidate]]-Audit[[#Totals],[Losing Candidate]]),
      0
)</f>
        <v>0</v>
      </c>
      <c r="AV1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6" s="114">
        <f>IF(Audit[[#This Row],[Max Relative Error (ep)]] = 0, 0, Audit[[#This Row],[Max Relative Error (ep)]]/Audit[[#This Row],[Error Bound (up) - Max. possible relative overstatement]])</f>
        <v>0</v>
      </c>
      <c r="BH1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6" s="114">
        <f t="shared" si="3"/>
        <v>1</v>
      </c>
      <c r="BJ176" s="114">
        <f>PRODUCT($BI$5:BI176)</f>
        <v>0.20973752198051165</v>
      </c>
      <c r="BK176" s="112">
        <f>1 - Audit[[#This Row],[K-M P Value]]</f>
        <v>0.79026247801948835</v>
      </c>
      <c r="BL176" s="114" t="str">
        <f>IF(Audit[[#This Row],[K-M P Value]]&gt;1-'General Info'!$B$12,"Continue", "Stop")</f>
        <v>Continue</v>
      </c>
      <c r="BM176" s="113" t="b">
        <f>IF(Audit[[#This Row],[Status - Continue or stop audit]] = "Continue", TRUE, IF(BL175 = "Continue", TRUE, FALSE))</f>
        <v>1</v>
      </c>
      <c r="BN176" s="113"/>
    </row>
    <row r="177" spans="1:66" ht="15" hidden="1" customHeight="1" x14ac:dyDescent="0.35">
      <c r="A177" s="114" t="str">
        <f>'Sampling Data'!AI177</f>
        <v/>
      </c>
      <c r="B177" s="114" t="str">
        <f>'Sampling Data'!A177</f>
        <v>2602 CIN 26-B   (AV)</v>
      </c>
      <c r="C177" s="114">
        <f>'Sampling Data'!B177</f>
        <v>5</v>
      </c>
      <c r="D177" s="114">
        <f>'Sampling Data'!C177</f>
        <v>2</v>
      </c>
      <c r="E177" s="115">
        <f>'Sampling Data'!D177</f>
        <v>0</v>
      </c>
      <c r="F177" s="115">
        <f>'Sampling Data'!E177</f>
        <v>0</v>
      </c>
      <c r="G177" s="115">
        <f>'Sampling Data'!F177</f>
        <v>0</v>
      </c>
      <c r="H177" s="115">
        <f>'Sampling Data'!G177</f>
        <v>0</v>
      </c>
      <c r="I177" s="115">
        <f>'Sampling Data'!H177</f>
        <v>0</v>
      </c>
      <c r="J177" s="115">
        <f>'Sampling Data'!I177</f>
        <v>0</v>
      </c>
      <c r="K177" s="115">
        <f>'Sampling Data'!J177</f>
        <v>0</v>
      </c>
      <c r="L177" s="115">
        <f>'Sampling Data'!K177</f>
        <v>0</v>
      </c>
      <c r="M177" s="115">
        <f>'Sampling Data'!L177</f>
        <v>0</v>
      </c>
      <c r="N177" s="115">
        <f>'Sampling Data'!M177</f>
        <v>0</v>
      </c>
      <c r="O177" s="114">
        <f>'Sampling Data'!N177</f>
        <v>0</v>
      </c>
      <c r="P177" s="114">
        <f>'Sampling Data'!O177</f>
        <v>1</v>
      </c>
      <c r="Q177" s="114">
        <f>'Sampling Data'!P177</f>
        <v>8</v>
      </c>
      <c r="R177" s="114">
        <f>'Sampling Data'!AJ177</f>
        <v>0</v>
      </c>
      <c r="S177" s="116"/>
      <c r="T177" s="116"/>
      <c r="U177" s="117"/>
      <c r="V177" s="117"/>
      <c r="W177" s="116"/>
      <c r="X177" s="116"/>
      <c r="Y177" s="116"/>
      <c r="Z177" s="116"/>
      <c r="AA177" s="15"/>
      <c r="AB177" s="15"/>
      <c r="AC177" s="15"/>
      <c r="AD177" s="15"/>
      <c r="AE177" s="118" t="str">
        <f>IF(NOT(ISBLANK(Audit[[#This Row],[Audit Winning Candidate]])), Audit[[#This Row],[Audit Winning Candidate]]-Audit[[#This Row],[Winning Candidate]], "")</f>
        <v/>
      </c>
      <c r="AF177" s="114" t="str">
        <f>IF(NOT(ISBLANK(Audit[[#This Row],[Audit Losing Candidate]])), Audit[[#This Row],[Audit Losing Candidate]]-Audit[[#This Row],[Losing Candidate]], "")</f>
        <v/>
      </c>
      <c r="AG177" s="114" t="str">
        <f>IF(NOT(ISBLANK(Audit[[#This Row],[Audit Candidate 3]])), Audit[[#This Row],[Audit Candidate 3]]-Audit[[#This Row],[Candidate 3]], "")</f>
        <v/>
      </c>
      <c r="AH177" s="114" t="str">
        <f>IF(NOT(ISBLANK(Audit[[#This Row],[Audit Candidate 4]])),Audit[[#This Row],[Audit Candidate 4]]-Audit[[#This Row],[Candidate 4]], "")</f>
        <v/>
      </c>
      <c r="AI177" s="114" t="str">
        <f>IF(NOT(ISBLANK(Audit[[#This Row],[Audit Candidate 5]])), Audit[[#This Row],[Audit Candidate 5]]-Audit[[#This Row],[Candidate 5]], "")</f>
        <v/>
      </c>
      <c r="AJ177" s="114" t="str">
        <f>IF(NOT(ISBLANK(Audit[[#This Row],[Audit Candidate 6]])), Audit[[#This Row],[Audit Candidate 6]]-Audit[[#This Row],[Candidate 6]], "")</f>
        <v/>
      </c>
      <c r="AK177" s="114" t="str">
        <f>IF(NOT(ISBLANK(Audit[[#This Row],[Audit Candidate 7]])), Audit[[#This Row],[Audit Candidate 7]]-Audit[[#This Row],[Candidate 7]], "")</f>
        <v/>
      </c>
      <c r="AL177" s="114" t="str">
        <f>IF(NOT(ISBLANK(Audit[[#This Row],[Audit Candidate 8]])), Audit[[#This Row],[Audit Candidate 8]]-Audit[[#This Row],[Candidate 8]], "")</f>
        <v/>
      </c>
      <c r="AM177" s="114" t="str">
        <f>IF(NOT(ISBLANK(Audit[[#This Row],[Audit Candidate 9]])), Audit[[#This Row],[Audit Candidate 9]]-Audit[[#This Row],[Candidate 9]], "")</f>
        <v/>
      </c>
      <c r="AN177" s="114" t="str">
        <f>IF(NOT(ISBLANK(Audit[[#This Row],[Audit Candidate 10]])), Audit[[#This Row],[Audit Candidate 10]]-Audit[[#This Row],[Candidate 10]], "")</f>
        <v/>
      </c>
      <c r="AO177" s="114" t="str">
        <f>IF(NOT(ISBLANK(Audit[[#This Row],[Audit Candidate 11]])), Audit[[#This Row],[Audit Candidate 11]]-Audit[[#This Row],[Candidate 11]], "")</f>
        <v/>
      </c>
      <c r="AP177" s="114" t="str">
        <f>IF(NOT(ISBLANK(Audit[[#This Row],[Audit Candidate 12]])), Audit[[#This Row],[Audit Candidate 12]]-Audit[[#This Row],[Candidate 12]], "")</f>
        <v/>
      </c>
      <c r="AQ177" s="114">
        <f>SUMIF(Audit[[#This Row],[Difference Winner]:[Difference Candidate 12]], "&gt;0")</f>
        <v>0</v>
      </c>
      <c r="AR177" s="114">
        <f>SUM(Audit[[#This Row],[Difference Winner]:[Difference Candidate 12]])</f>
        <v>0</v>
      </c>
      <c r="AS177" s="114">
        <f>IF(Audit[[#This Row],[Times p Drawn - With Replacement]]&gt;0, IF(Audit[[#This Row],[Canceled Differences]]&lt;0, Audit[[#This Row],[Max Differences]]+ABS(Audit[[#This Row],[Canceled Differences]]), Audit[[#This Row],[Max Differences]]), 0)</f>
        <v>0</v>
      </c>
      <c r="AT177" s="114">
        <f>'Sampling Data'!AB177</f>
        <v>7.3379995484307975E-4</v>
      </c>
      <c r="AU177" s="114">
        <f>IF(
      SUM(Audit[[#This Row],[Audit Losing Candidate]:[Audit Candidate 12]])
      &lt;&gt;0,
      (Audit[[#This Row],[Winning Candidate]]-Audit[[#This Row],[Losing Candidate]]-(Audit[[#This Row],[Audit Winning Candidate]]-Audit[[#This Row],[Audit Losing Candidate]]))/(Audit[[#Totals],[Winning Candidate]]-Audit[[#Totals],[Losing Candidate]]),
      0
)</f>
        <v>0</v>
      </c>
      <c r="AV1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7" s="114">
        <f>IF(Audit[[#This Row],[Max Relative Error (ep)]] = 0, 0, Audit[[#This Row],[Max Relative Error (ep)]]/Audit[[#This Row],[Error Bound (up) - Max. possible relative overstatement]])</f>
        <v>0</v>
      </c>
      <c r="BH1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7" s="114">
        <f t="shared" si="3"/>
        <v>1</v>
      </c>
      <c r="BJ177" s="114">
        <f>PRODUCT($BI$5:BI177)</f>
        <v>0.20973752198051165</v>
      </c>
      <c r="BK177" s="112">
        <f>1 - Audit[[#This Row],[K-M P Value]]</f>
        <v>0.79026247801948835</v>
      </c>
      <c r="BL177" s="114" t="str">
        <f>IF(Audit[[#This Row],[K-M P Value]]&gt;1-'General Info'!$B$12,"Continue", "Stop")</f>
        <v>Continue</v>
      </c>
      <c r="BM177" s="113" t="b">
        <f>IF(Audit[[#This Row],[Status - Continue or stop audit]] = "Continue", TRUE, IF(BL176 = "Continue", TRUE, FALSE))</f>
        <v>1</v>
      </c>
      <c r="BN177" s="113"/>
    </row>
    <row r="178" spans="1:66" ht="15" hidden="1" customHeight="1" x14ac:dyDescent="0.35">
      <c r="A178" s="114" t="str">
        <f>'Sampling Data'!AI178</f>
        <v/>
      </c>
      <c r="B178" s="114" t="str">
        <f>'Sampling Data'!A178</f>
        <v>2603 CIN 26-C   (AV)</v>
      </c>
      <c r="C178" s="114">
        <f>'Sampling Data'!B178</f>
        <v>6</v>
      </c>
      <c r="D178" s="114">
        <f>'Sampling Data'!C178</f>
        <v>0</v>
      </c>
      <c r="E178" s="115">
        <f>'Sampling Data'!D178</f>
        <v>0</v>
      </c>
      <c r="F178" s="115">
        <f>'Sampling Data'!E178</f>
        <v>0</v>
      </c>
      <c r="G178" s="115">
        <f>'Sampling Data'!F178</f>
        <v>0</v>
      </c>
      <c r="H178" s="115">
        <f>'Sampling Data'!G178</f>
        <v>0</v>
      </c>
      <c r="I178" s="115">
        <f>'Sampling Data'!H178</f>
        <v>0</v>
      </c>
      <c r="J178" s="115">
        <f>'Sampling Data'!I178</f>
        <v>0</v>
      </c>
      <c r="K178" s="115">
        <f>'Sampling Data'!J178</f>
        <v>0</v>
      </c>
      <c r="L178" s="115">
        <f>'Sampling Data'!K178</f>
        <v>0</v>
      </c>
      <c r="M178" s="115">
        <f>'Sampling Data'!L178</f>
        <v>0</v>
      </c>
      <c r="N178" s="115">
        <f>'Sampling Data'!M178</f>
        <v>0</v>
      </c>
      <c r="O178" s="114">
        <f>'Sampling Data'!N178</f>
        <v>0</v>
      </c>
      <c r="P178" s="114">
        <f>'Sampling Data'!O178</f>
        <v>1</v>
      </c>
      <c r="Q178" s="114">
        <f>'Sampling Data'!P178</f>
        <v>7</v>
      </c>
      <c r="R178" s="114">
        <f>'Sampling Data'!AJ178</f>
        <v>0</v>
      </c>
      <c r="S178" s="116"/>
      <c r="T178" s="116"/>
      <c r="U178" s="117"/>
      <c r="V178" s="117"/>
      <c r="W178" s="116"/>
      <c r="X178" s="116"/>
      <c r="Y178" s="116"/>
      <c r="Z178" s="116"/>
      <c r="AA178" s="15"/>
      <c r="AB178" s="15"/>
      <c r="AC178" s="15"/>
      <c r="AD178" s="15"/>
      <c r="AE178" s="118" t="str">
        <f>IF(NOT(ISBLANK(Audit[[#This Row],[Audit Winning Candidate]])), Audit[[#This Row],[Audit Winning Candidate]]-Audit[[#This Row],[Winning Candidate]], "")</f>
        <v/>
      </c>
      <c r="AF178" s="114" t="str">
        <f>IF(NOT(ISBLANK(Audit[[#This Row],[Audit Losing Candidate]])), Audit[[#This Row],[Audit Losing Candidate]]-Audit[[#This Row],[Losing Candidate]], "")</f>
        <v/>
      </c>
      <c r="AG178" s="114" t="str">
        <f>IF(NOT(ISBLANK(Audit[[#This Row],[Audit Candidate 3]])), Audit[[#This Row],[Audit Candidate 3]]-Audit[[#This Row],[Candidate 3]], "")</f>
        <v/>
      </c>
      <c r="AH178" s="114" t="str">
        <f>IF(NOT(ISBLANK(Audit[[#This Row],[Audit Candidate 4]])),Audit[[#This Row],[Audit Candidate 4]]-Audit[[#This Row],[Candidate 4]], "")</f>
        <v/>
      </c>
      <c r="AI178" s="114" t="str">
        <f>IF(NOT(ISBLANK(Audit[[#This Row],[Audit Candidate 5]])), Audit[[#This Row],[Audit Candidate 5]]-Audit[[#This Row],[Candidate 5]], "")</f>
        <v/>
      </c>
      <c r="AJ178" s="114" t="str">
        <f>IF(NOT(ISBLANK(Audit[[#This Row],[Audit Candidate 6]])), Audit[[#This Row],[Audit Candidate 6]]-Audit[[#This Row],[Candidate 6]], "")</f>
        <v/>
      </c>
      <c r="AK178" s="114" t="str">
        <f>IF(NOT(ISBLANK(Audit[[#This Row],[Audit Candidate 7]])), Audit[[#This Row],[Audit Candidate 7]]-Audit[[#This Row],[Candidate 7]], "")</f>
        <v/>
      </c>
      <c r="AL178" s="114" t="str">
        <f>IF(NOT(ISBLANK(Audit[[#This Row],[Audit Candidate 8]])), Audit[[#This Row],[Audit Candidate 8]]-Audit[[#This Row],[Candidate 8]], "")</f>
        <v/>
      </c>
      <c r="AM178" s="114" t="str">
        <f>IF(NOT(ISBLANK(Audit[[#This Row],[Audit Candidate 9]])), Audit[[#This Row],[Audit Candidate 9]]-Audit[[#This Row],[Candidate 9]], "")</f>
        <v/>
      </c>
      <c r="AN178" s="114" t="str">
        <f>IF(NOT(ISBLANK(Audit[[#This Row],[Audit Candidate 10]])), Audit[[#This Row],[Audit Candidate 10]]-Audit[[#This Row],[Candidate 10]], "")</f>
        <v/>
      </c>
      <c r="AO178" s="114" t="str">
        <f>IF(NOT(ISBLANK(Audit[[#This Row],[Audit Candidate 11]])), Audit[[#This Row],[Audit Candidate 11]]-Audit[[#This Row],[Candidate 11]], "")</f>
        <v/>
      </c>
      <c r="AP178" s="114" t="str">
        <f>IF(NOT(ISBLANK(Audit[[#This Row],[Audit Candidate 12]])), Audit[[#This Row],[Audit Candidate 12]]-Audit[[#This Row],[Candidate 12]], "")</f>
        <v/>
      </c>
      <c r="AQ178" s="114">
        <f>SUMIF(Audit[[#This Row],[Difference Winner]:[Difference Candidate 12]], "&gt;0")</f>
        <v>0</v>
      </c>
      <c r="AR178" s="114">
        <f>SUM(Audit[[#This Row],[Difference Winner]:[Difference Candidate 12]])</f>
        <v>0</v>
      </c>
      <c r="AS178" s="114">
        <f>IF(Audit[[#This Row],[Times p Drawn - With Replacement]]&gt;0, IF(Audit[[#This Row],[Canceled Differences]]&lt;0, Audit[[#This Row],[Max Differences]]+ABS(Audit[[#This Row],[Canceled Differences]]), Audit[[#This Row],[Max Differences]]), 0)</f>
        <v>0</v>
      </c>
      <c r="AT178" s="114">
        <f>'Sampling Data'!AB178</f>
        <v>8.2169268693508624E-4</v>
      </c>
      <c r="AU178" s="114">
        <f>IF(
      SUM(Audit[[#This Row],[Audit Losing Candidate]:[Audit Candidate 12]])
      &lt;&gt;0,
      (Audit[[#This Row],[Winning Candidate]]-Audit[[#This Row],[Losing Candidate]]-(Audit[[#This Row],[Audit Winning Candidate]]-Audit[[#This Row],[Audit Losing Candidate]]))/(Audit[[#Totals],[Winning Candidate]]-Audit[[#Totals],[Losing Candidate]]),
      0
)</f>
        <v>0</v>
      </c>
      <c r="AV1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8" s="114">
        <f>IF(Audit[[#This Row],[Max Relative Error (ep)]] = 0, 0, Audit[[#This Row],[Max Relative Error (ep)]]/Audit[[#This Row],[Error Bound (up) - Max. possible relative overstatement]])</f>
        <v>0</v>
      </c>
      <c r="BH1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8" s="114">
        <f t="shared" si="3"/>
        <v>1</v>
      </c>
      <c r="BJ178" s="114">
        <f>PRODUCT($BI$5:BI178)</f>
        <v>0.20973752198051165</v>
      </c>
      <c r="BK178" s="112">
        <f>1 - Audit[[#This Row],[K-M P Value]]</f>
        <v>0.79026247801948835</v>
      </c>
      <c r="BL178" s="114" t="str">
        <f>IF(Audit[[#This Row],[K-M P Value]]&gt;1-'General Info'!$B$12,"Continue", "Stop")</f>
        <v>Continue</v>
      </c>
      <c r="BM178" s="113" t="b">
        <f>IF(Audit[[#This Row],[Status - Continue or stop audit]] = "Continue", TRUE, IF(BL177 = "Continue", TRUE, FALSE))</f>
        <v>1</v>
      </c>
      <c r="BN178" s="113"/>
    </row>
    <row r="179" spans="1:66" ht="15" hidden="1" customHeight="1" x14ac:dyDescent="0.35">
      <c r="A179" s="114" t="str">
        <f>'Sampling Data'!AI179</f>
        <v/>
      </c>
      <c r="B179" s="114" t="str">
        <f>'Sampling Data'!A179</f>
        <v>2604 CIN 26-D   (AV)</v>
      </c>
      <c r="C179" s="114">
        <f>'Sampling Data'!B179</f>
        <v>8</v>
      </c>
      <c r="D179" s="114">
        <f>'Sampling Data'!C179</f>
        <v>0</v>
      </c>
      <c r="E179" s="115">
        <f>'Sampling Data'!D179</f>
        <v>0</v>
      </c>
      <c r="F179" s="115">
        <f>'Sampling Data'!E179</f>
        <v>0</v>
      </c>
      <c r="G179" s="115">
        <f>'Sampling Data'!F179</f>
        <v>0</v>
      </c>
      <c r="H179" s="115">
        <f>'Sampling Data'!G179</f>
        <v>0</v>
      </c>
      <c r="I179" s="115">
        <f>'Sampling Data'!H179</f>
        <v>0</v>
      </c>
      <c r="J179" s="115">
        <f>'Sampling Data'!I179</f>
        <v>0</v>
      </c>
      <c r="K179" s="115">
        <f>'Sampling Data'!J179</f>
        <v>0</v>
      </c>
      <c r="L179" s="115">
        <f>'Sampling Data'!K179</f>
        <v>0</v>
      </c>
      <c r="M179" s="115">
        <f>'Sampling Data'!L179</f>
        <v>0</v>
      </c>
      <c r="N179" s="115">
        <f>'Sampling Data'!M179</f>
        <v>0</v>
      </c>
      <c r="O179" s="114">
        <f>'Sampling Data'!N179</f>
        <v>0</v>
      </c>
      <c r="P179" s="114">
        <f>'Sampling Data'!O179</f>
        <v>0</v>
      </c>
      <c r="Q179" s="114">
        <f>'Sampling Data'!P179</f>
        <v>8</v>
      </c>
      <c r="R179" s="114">
        <f>'Sampling Data'!AJ179</f>
        <v>0</v>
      </c>
      <c r="S179" s="116"/>
      <c r="T179" s="116"/>
      <c r="U179" s="117"/>
      <c r="V179" s="117"/>
      <c r="W179" s="116"/>
      <c r="X179" s="116"/>
      <c r="Y179" s="116"/>
      <c r="Z179" s="116"/>
      <c r="AA179" s="15"/>
      <c r="AB179" s="15"/>
      <c r="AC179" s="15"/>
      <c r="AD179" s="15"/>
      <c r="AE179" s="118" t="str">
        <f>IF(NOT(ISBLANK(Audit[[#This Row],[Audit Winning Candidate]])), Audit[[#This Row],[Audit Winning Candidate]]-Audit[[#This Row],[Winning Candidate]], "")</f>
        <v/>
      </c>
      <c r="AF179" s="114" t="str">
        <f>IF(NOT(ISBLANK(Audit[[#This Row],[Audit Losing Candidate]])), Audit[[#This Row],[Audit Losing Candidate]]-Audit[[#This Row],[Losing Candidate]], "")</f>
        <v/>
      </c>
      <c r="AG179" s="114" t="str">
        <f>IF(NOT(ISBLANK(Audit[[#This Row],[Audit Candidate 3]])), Audit[[#This Row],[Audit Candidate 3]]-Audit[[#This Row],[Candidate 3]], "")</f>
        <v/>
      </c>
      <c r="AH179" s="114" t="str">
        <f>IF(NOT(ISBLANK(Audit[[#This Row],[Audit Candidate 4]])),Audit[[#This Row],[Audit Candidate 4]]-Audit[[#This Row],[Candidate 4]], "")</f>
        <v/>
      </c>
      <c r="AI179" s="114" t="str">
        <f>IF(NOT(ISBLANK(Audit[[#This Row],[Audit Candidate 5]])), Audit[[#This Row],[Audit Candidate 5]]-Audit[[#This Row],[Candidate 5]], "")</f>
        <v/>
      </c>
      <c r="AJ179" s="114" t="str">
        <f>IF(NOT(ISBLANK(Audit[[#This Row],[Audit Candidate 6]])), Audit[[#This Row],[Audit Candidate 6]]-Audit[[#This Row],[Candidate 6]], "")</f>
        <v/>
      </c>
      <c r="AK179" s="114" t="str">
        <f>IF(NOT(ISBLANK(Audit[[#This Row],[Audit Candidate 7]])), Audit[[#This Row],[Audit Candidate 7]]-Audit[[#This Row],[Candidate 7]], "")</f>
        <v/>
      </c>
      <c r="AL179" s="114" t="str">
        <f>IF(NOT(ISBLANK(Audit[[#This Row],[Audit Candidate 8]])), Audit[[#This Row],[Audit Candidate 8]]-Audit[[#This Row],[Candidate 8]], "")</f>
        <v/>
      </c>
      <c r="AM179" s="114" t="str">
        <f>IF(NOT(ISBLANK(Audit[[#This Row],[Audit Candidate 9]])), Audit[[#This Row],[Audit Candidate 9]]-Audit[[#This Row],[Candidate 9]], "")</f>
        <v/>
      </c>
      <c r="AN179" s="114" t="str">
        <f>IF(NOT(ISBLANK(Audit[[#This Row],[Audit Candidate 10]])), Audit[[#This Row],[Audit Candidate 10]]-Audit[[#This Row],[Candidate 10]], "")</f>
        <v/>
      </c>
      <c r="AO179" s="114" t="str">
        <f>IF(NOT(ISBLANK(Audit[[#This Row],[Audit Candidate 11]])), Audit[[#This Row],[Audit Candidate 11]]-Audit[[#This Row],[Candidate 11]], "")</f>
        <v/>
      </c>
      <c r="AP179" s="114" t="str">
        <f>IF(NOT(ISBLANK(Audit[[#This Row],[Audit Candidate 12]])), Audit[[#This Row],[Audit Candidate 12]]-Audit[[#This Row],[Candidate 12]], "")</f>
        <v/>
      </c>
      <c r="AQ179" s="114">
        <f>SUMIF(Audit[[#This Row],[Difference Winner]:[Difference Candidate 12]], "&gt;0")</f>
        <v>0</v>
      </c>
      <c r="AR179" s="114">
        <f>SUM(Audit[[#This Row],[Difference Winner]:[Difference Candidate 12]])</f>
        <v>0</v>
      </c>
      <c r="AS179" s="114">
        <f>IF(Audit[[#This Row],[Times p Drawn - With Replacement]]&gt;0, IF(Audit[[#This Row],[Canceled Differences]]&lt;0, Audit[[#This Row],[Max Differences]]+ABS(Audit[[#This Row],[Canceled Differences]]), Audit[[#This Row],[Max Differences]]), 0)</f>
        <v>0</v>
      </c>
      <c r="AT179" s="114">
        <f>'Sampling Data'!AB179</f>
        <v>1.0113140762277985E-3</v>
      </c>
      <c r="AU179" s="114">
        <f>IF(
      SUM(Audit[[#This Row],[Audit Losing Candidate]:[Audit Candidate 12]])
      &lt;&gt;0,
      (Audit[[#This Row],[Winning Candidate]]-Audit[[#This Row],[Losing Candidate]]-(Audit[[#This Row],[Audit Winning Candidate]]-Audit[[#This Row],[Audit Losing Candidate]]))/(Audit[[#Totals],[Winning Candidate]]-Audit[[#Totals],[Losing Candidate]]),
      0
)</f>
        <v>0</v>
      </c>
      <c r="AV1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9" s="114">
        <f>IF(Audit[[#This Row],[Max Relative Error (ep)]] = 0, 0, Audit[[#This Row],[Max Relative Error (ep)]]/Audit[[#This Row],[Error Bound (up) - Max. possible relative overstatement]])</f>
        <v>0</v>
      </c>
      <c r="BH1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79" s="114">
        <f t="shared" si="3"/>
        <v>1</v>
      </c>
      <c r="BJ179" s="114">
        <f>PRODUCT($BI$5:BI179)</f>
        <v>0.20973752198051165</v>
      </c>
      <c r="BK179" s="112">
        <f>1 - Audit[[#This Row],[K-M P Value]]</f>
        <v>0.79026247801948835</v>
      </c>
      <c r="BL179" s="114" t="str">
        <f>IF(Audit[[#This Row],[K-M P Value]]&gt;1-'General Info'!$B$12,"Continue", "Stop")</f>
        <v>Continue</v>
      </c>
      <c r="BM179" s="113" t="b">
        <f>IF(Audit[[#This Row],[Status - Continue or stop audit]] = "Continue", TRUE, IF(BL178 = "Continue", TRUE, FALSE))</f>
        <v>1</v>
      </c>
      <c r="BN179" s="113"/>
    </row>
    <row r="180" spans="1:66" ht="15" hidden="1" customHeight="1" x14ac:dyDescent="0.35">
      <c r="A180" s="114" t="str">
        <f>'Sampling Data'!AI180</f>
        <v/>
      </c>
      <c r="B180" s="114" t="str">
        <f>'Sampling Data'!A180</f>
        <v>2605 CIN 26-E   (AV)</v>
      </c>
      <c r="C180" s="114">
        <f>'Sampling Data'!B180</f>
        <v>10</v>
      </c>
      <c r="D180" s="114">
        <f>'Sampling Data'!C180</f>
        <v>0</v>
      </c>
      <c r="E180" s="115">
        <f>'Sampling Data'!D180</f>
        <v>0</v>
      </c>
      <c r="F180" s="115">
        <f>'Sampling Data'!E180</f>
        <v>0</v>
      </c>
      <c r="G180" s="115">
        <f>'Sampling Data'!F180</f>
        <v>0</v>
      </c>
      <c r="H180" s="115">
        <f>'Sampling Data'!G180</f>
        <v>0</v>
      </c>
      <c r="I180" s="115">
        <f>'Sampling Data'!H180</f>
        <v>0</v>
      </c>
      <c r="J180" s="115">
        <f>'Sampling Data'!I180</f>
        <v>0</v>
      </c>
      <c r="K180" s="115">
        <f>'Sampling Data'!J180</f>
        <v>0</v>
      </c>
      <c r="L180" s="115">
        <f>'Sampling Data'!K180</f>
        <v>0</v>
      </c>
      <c r="M180" s="115">
        <f>'Sampling Data'!L180</f>
        <v>0</v>
      </c>
      <c r="N180" s="115">
        <f>'Sampling Data'!M180</f>
        <v>0</v>
      </c>
      <c r="O180" s="114">
        <f>'Sampling Data'!N180</f>
        <v>1</v>
      </c>
      <c r="P180" s="114">
        <f>'Sampling Data'!O180</f>
        <v>0</v>
      </c>
      <c r="Q180" s="114">
        <f>'Sampling Data'!P180</f>
        <v>11</v>
      </c>
      <c r="R180" s="114">
        <f>'Sampling Data'!AJ180</f>
        <v>0</v>
      </c>
      <c r="S180" s="116"/>
      <c r="T180" s="116"/>
      <c r="U180" s="117"/>
      <c r="V180" s="117"/>
      <c r="W180" s="116"/>
      <c r="X180" s="116"/>
      <c r="Y180" s="116"/>
      <c r="Z180" s="116"/>
      <c r="AA180" s="15"/>
      <c r="AB180" s="15"/>
      <c r="AC180" s="15"/>
      <c r="AD180" s="15"/>
      <c r="AE180" s="118" t="str">
        <f>IF(NOT(ISBLANK(Audit[[#This Row],[Audit Winning Candidate]])), Audit[[#This Row],[Audit Winning Candidate]]-Audit[[#This Row],[Winning Candidate]], "")</f>
        <v/>
      </c>
      <c r="AF180" s="114" t="str">
        <f>IF(NOT(ISBLANK(Audit[[#This Row],[Audit Losing Candidate]])), Audit[[#This Row],[Audit Losing Candidate]]-Audit[[#This Row],[Losing Candidate]], "")</f>
        <v/>
      </c>
      <c r="AG180" s="114" t="str">
        <f>IF(NOT(ISBLANK(Audit[[#This Row],[Audit Candidate 3]])), Audit[[#This Row],[Audit Candidate 3]]-Audit[[#This Row],[Candidate 3]], "")</f>
        <v/>
      </c>
      <c r="AH180" s="114" t="str">
        <f>IF(NOT(ISBLANK(Audit[[#This Row],[Audit Candidate 4]])),Audit[[#This Row],[Audit Candidate 4]]-Audit[[#This Row],[Candidate 4]], "")</f>
        <v/>
      </c>
      <c r="AI180" s="114" t="str">
        <f>IF(NOT(ISBLANK(Audit[[#This Row],[Audit Candidate 5]])), Audit[[#This Row],[Audit Candidate 5]]-Audit[[#This Row],[Candidate 5]], "")</f>
        <v/>
      </c>
      <c r="AJ180" s="114" t="str">
        <f>IF(NOT(ISBLANK(Audit[[#This Row],[Audit Candidate 6]])), Audit[[#This Row],[Audit Candidate 6]]-Audit[[#This Row],[Candidate 6]], "")</f>
        <v/>
      </c>
      <c r="AK180" s="114" t="str">
        <f>IF(NOT(ISBLANK(Audit[[#This Row],[Audit Candidate 7]])), Audit[[#This Row],[Audit Candidate 7]]-Audit[[#This Row],[Candidate 7]], "")</f>
        <v/>
      </c>
      <c r="AL180" s="114" t="str">
        <f>IF(NOT(ISBLANK(Audit[[#This Row],[Audit Candidate 8]])), Audit[[#This Row],[Audit Candidate 8]]-Audit[[#This Row],[Candidate 8]], "")</f>
        <v/>
      </c>
      <c r="AM180" s="114" t="str">
        <f>IF(NOT(ISBLANK(Audit[[#This Row],[Audit Candidate 9]])), Audit[[#This Row],[Audit Candidate 9]]-Audit[[#This Row],[Candidate 9]], "")</f>
        <v/>
      </c>
      <c r="AN180" s="114" t="str">
        <f>IF(NOT(ISBLANK(Audit[[#This Row],[Audit Candidate 10]])), Audit[[#This Row],[Audit Candidate 10]]-Audit[[#This Row],[Candidate 10]], "")</f>
        <v/>
      </c>
      <c r="AO180" s="114" t="str">
        <f>IF(NOT(ISBLANK(Audit[[#This Row],[Audit Candidate 11]])), Audit[[#This Row],[Audit Candidate 11]]-Audit[[#This Row],[Candidate 11]], "")</f>
        <v/>
      </c>
      <c r="AP180" s="114" t="str">
        <f>IF(NOT(ISBLANK(Audit[[#This Row],[Audit Candidate 12]])), Audit[[#This Row],[Audit Candidate 12]]-Audit[[#This Row],[Candidate 12]], "")</f>
        <v/>
      </c>
      <c r="AQ180" s="114">
        <f>SUMIF(Audit[[#This Row],[Difference Winner]:[Difference Candidate 12]], "&gt;0")</f>
        <v>0</v>
      </c>
      <c r="AR180" s="114">
        <f>SUM(Audit[[#This Row],[Difference Winner]:[Difference Candidate 12]])</f>
        <v>0</v>
      </c>
      <c r="AS180" s="114">
        <f>IF(Audit[[#This Row],[Times p Drawn - With Replacement]]&gt;0, IF(Audit[[#This Row],[Canceled Differences]]&lt;0, Audit[[#This Row],[Max Differences]]+ABS(Audit[[#This Row],[Canceled Differences]]), Audit[[#This Row],[Max Differences]]), 0)</f>
        <v>0</v>
      </c>
      <c r="AT180" s="114">
        <f>'Sampling Data'!AB180</f>
        <v>1.3273497250489855E-3</v>
      </c>
      <c r="AU180" s="114">
        <f>IF(
      SUM(Audit[[#This Row],[Audit Losing Candidate]:[Audit Candidate 12]])
      &lt;&gt;0,
      (Audit[[#This Row],[Winning Candidate]]-Audit[[#This Row],[Losing Candidate]]-(Audit[[#This Row],[Audit Winning Candidate]]-Audit[[#This Row],[Audit Losing Candidate]]))/(Audit[[#Totals],[Winning Candidate]]-Audit[[#Totals],[Losing Candidate]]),
      0
)</f>
        <v>0</v>
      </c>
      <c r="AV1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0" s="114">
        <f>IF(Audit[[#This Row],[Max Relative Error (ep)]] = 0, 0, Audit[[#This Row],[Max Relative Error (ep)]]/Audit[[#This Row],[Error Bound (up) - Max. possible relative overstatement]])</f>
        <v>0</v>
      </c>
      <c r="BH1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0" s="114">
        <f t="shared" si="3"/>
        <v>1</v>
      </c>
      <c r="BJ180" s="114">
        <f>PRODUCT($BI$5:BI180)</f>
        <v>0.20973752198051165</v>
      </c>
      <c r="BK180" s="112">
        <f>1 - Audit[[#This Row],[K-M P Value]]</f>
        <v>0.79026247801948835</v>
      </c>
      <c r="BL180" s="114" t="str">
        <f>IF(Audit[[#This Row],[K-M P Value]]&gt;1-'General Info'!$B$12,"Continue", "Stop")</f>
        <v>Continue</v>
      </c>
      <c r="BM180" s="113" t="b">
        <f>IF(Audit[[#This Row],[Status - Continue or stop audit]] = "Continue", TRUE, IF(BL179 = "Continue", TRUE, FALSE))</f>
        <v>1</v>
      </c>
      <c r="BN180" s="113"/>
    </row>
    <row r="181" spans="1:66" ht="15" hidden="1" customHeight="1" x14ac:dyDescent="0.35">
      <c r="A181" s="114" t="str">
        <f>'Sampling Data'!AI181</f>
        <v/>
      </c>
      <c r="B181" s="114" t="str">
        <f>'Sampling Data'!A181</f>
        <v>2606 CIN 26-F   (AV)</v>
      </c>
      <c r="C181" s="114">
        <f>'Sampling Data'!B181</f>
        <v>3</v>
      </c>
      <c r="D181" s="114">
        <f>'Sampling Data'!C181</f>
        <v>1</v>
      </c>
      <c r="E181" s="115">
        <f>'Sampling Data'!D181</f>
        <v>1</v>
      </c>
      <c r="F181" s="115">
        <f>'Sampling Data'!E181</f>
        <v>0</v>
      </c>
      <c r="G181" s="115">
        <f>'Sampling Data'!F181</f>
        <v>0</v>
      </c>
      <c r="H181" s="115">
        <f>'Sampling Data'!G181</f>
        <v>0</v>
      </c>
      <c r="I181" s="115">
        <f>'Sampling Data'!H181</f>
        <v>0</v>
      </c>
      <c r="J181" s="115">
        <f>'Sampling Data'!I181</f>
        <v>0</v>
      </c>
      <c r="K181" s="115">
        <f>'Sampling Data'!J181</f>
        <v>0</v>
      </c>
      <c r="L181" s="115">
        <f>'Sampling Data'!K181</f>
        <v>0</v>
      </c>
      <c r="M181" s="115">
        <f>'Sampling Data'!L181</f>
        <v>0</v>
      </c>
      <c r="N181" s="115">
        <f>'Sampling Data'!M181</f>
        <v>0</v>
      </c>
      <c r="O181" s="114">
        <f>'Sampling Data'!N181</f>
        <v>0</v>
      </c>
      <c r="P181" s="114">
        <f>'Sampling Data'!O181</f>
        <v>0</v>
      </c>
      <c r="Q181" s="114">
        <f>'Sampling Data'!P181</f>
        <v>5</v>
      </c>
      <c r="R181" s="114">
        <f>'Sampling Data'!AJ181</f>
        <v>0</v>
      </c>
      <c r="S181" s="116"/>
      <c r="T181" s="116"/>
      <c r="U181" s="117"/>
      <c r="V181" s="117"/>
      <c r="W181" s="116"/>
      <c r="X181" s="116"/>
      <c r="Y181" s="116"/>
      <c r="Z181" s="116"/>
      <c r="AA181" s="15"/>
      <c r="AB181" s="15"/>
      <c r="AC181" s="15"/>
      <c r="AD181" s="15"/>
      <c r="AE181" s="118" t="str">
        <f>IF(NOT(ISBLANK(Audit[[#This Row],[Audit Winning Candidate]])), Audit[[#This Row],[Audit Winning Candidate]]-Audit[[#This Row],[Winning Candidate]], "")</f>
        <v/>
      </c>
      <c r="AF181" s="114" t="str">
        <f>IF(NOT(ISBLANK(Audit[[#This Row],[Audit Losing Candidate]])), Audit[[#This Row],[Audit Losing Candidate]]-Audit[[#This Row],[Losing Candidate]], "")</f>
        <v/>
      </c>
      <c r="AG181" s="114" t="str">
        <f>IF(NOT(ISBLANK(Audit[[#This Row],[Audit Candidate 3]])), Audit[[#This Row],[Audit Candidate 3]]-Audit[[#This Row],[Candidate 3]], "")</f>
        <v/>
      </c>
      <c r="AH181" s="114" t="str">
        <f>IF(NOT(ISBLANK(Audit[[#This Row],[Audit Candidate 4]])),Audit[[#This Row],[Audit Candidate 4]]-Audit[[#This Row],[Candidate 4]], "")</f>
        <v/>
      </c>
      <c r="AI181" s="114" t="str">
        <f>IF(NOT(ISBLANK(Audit[[#This Row],[Audit Candidate 5]])), Audit[[#This Row],[Audit Candidate 5]]-Audit[[#This Row],[Candidate 5]], "")</f>
        <v/>
      </c>
      <c r="AJ181" s="114" t="str">
        <f>IF(NOT(ISBLANK(Audit[[#This Row],[Audit Candidate 6]])), Audit[[#This Row],[Audit Candidate 6]]-Audit[[#This Row],[Candidate 6]], "")</f>
        <v/>
      </c>
      <c r="AK181" s="114" t="str">
        <f>IF(NOT(ISBLANK(Audit[[#This Row],[Audit Candidate 7]])), Audit[[#This Row],[Audit Candidate 7]]-Audit[[#This Row],[Candidate 7]], "")</f>
        <v/>
      </c>
      <c r="AL181" s="114" t="str">
        <f>IF(NOT(ISBLANK(Audit[[#This Row],[Audit Candidate 8]])), Audit[[#This Row],[Audit Candidate 8]]-Audit[[#This Row],[Candidate 8]], "")</f>
        <v/>
      </c>
      <c r="AM181" s="114" t="str">
        <f>IF(NOT(ISBLANK(Audit[[#This Row],[Audit Candidate 9]])), Audit[[#This Row],[Audit Candidate 9]]-Audit[[#This Row],[Candidate 9]], "")</f>
        <v/>
      </c>
      <c r="AN181" s="114" t="str">
        <f>IF(NOT(ISBLANK(Audit[[#This Row],[Audit Candidate 10]])), Audit[[#This Row],[Audit Candidate 10]]-Audit[[#This Row],[Candidate 10]], "")</f>
        <v/>
      </c>
      <c r="AO181" s="114" t="str">
        <f>IF(NOT(ISBLANK(Audit[[#This Row],[Audit Candidate 11]])), Audit[[#This Row],[Audit Candidate 11]]-Audit[[#This Row],[Candidate 11]], "")</f>
        <v/>
      </c>
      <c r="AP181" s="114" t="str">
        <f>IF(NOT(ISBLANK(Audit[[#This Row],[Audit Candidate 12]])), Audit[[#This Row],[Audit Candidate 12]]-Audit[[#This Row],[Candidate 12]], "")</f>
        <v/>
      </c>
      <c r="AQ181" s="114">
        <f>SUMIF(Audit[[#This Row],[Difference Winner]:[Difference Candidate 12]], "&gt;0")</f>
        <v>0</v>
      </c>
      <c r="AR181" s="114">
        <f>SUM(Audit[[#This Row],[Difference Winner]:[Difference Candidate 12]])</f>
        <v>0</v>
      </c>
      <c r="AS181" s="114">
        <f>IF(Audit[[#This Row],[Times p Drawn - With Replacement]]&gt;0, IF(Audit[[#This Row],[Canceled Differences]]&lt;0, Audit[[#This Row],[Max Differences]]+ABS(Audit[[#This Row],[Canceled Differences]]), Audit[[#This Row],[Max Differences]]), 0)</f>
        <v>0</v>
      </c>
      <c r="AT181" s="114">
        <f>'Sampling Data'!AB181</f>
        <v>4.4244990834966185E-4</v>
      </c>
      <c r="AU181" s="114">
        <f>IF(
      SUM(Audit[[#This Row],[Audit Losing Candidate]:[Audit Candidate 12]])
      &lt;&gt;0,
      (Audit[[#This Row],[Winning Candidate]]-Audit[[#This Row],[Losing Candidate]]-(Audit[[#This Row],[Audit Winning Candidate]]-Audit[[#This Row],[Audit Losing Candidate]]))/(Audit[[#Totals],[Winning Candidate]]-Audit[[#Totals],[Losing Candidate]]),
      0
)</f>
        <v>0</v>
      </c>
      <c r="AV1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1" s="114">
        <f>IF(Audit[[#This Row],[Max Relative Error (ep)]] = 0, 0, Audit[[#This Row],[Max Relative Error (ep)]]/Audit[[#This Row],[Error Bound (up) - Max. possible relative overstatement]])</f>
        <v>0</v>
      </c>
      <c r="BH1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1" s="114">
        <f t="shared" si="3"/>
        <v>1</v>
      </c>
      <c r="BJ181" s="114">
        <f>PRODUCT($BI$5:BI181)</f>
        <v>0.20973752198051165</v>
      </c>
      <c r="BK181" s="112">
        <f>1 - Audit[[#This Row],[K-M P Value]]</f>
        <v>0.79026247801948835</v>
      </c>
      <c r="BL181" s="114" t="str">
        <f>IF(Audit[[#This Row],[K-M P Value]]&gt;1-'General Info'!$B$12,"Continue", "Stop")</f>
        <v>Continue</v>
      </c>
      <c r="BM181" s="113" t="b">
        <f>IF(Audit[[#This Row],[Status - Continue or stop audit]] = "Continue", TRUE, IF(BL180 = "Continue", TRUE, FALSE))</f>
        <v>1</v>
      </c>
      <c r="BN181" s="113"/>
    </row>
    <row r="182" spans="1:66" ht="15" hidden="1" customHeight="1" x14ac:dyDescent="0.35">
      <c r="A182" s="114" t="str">
        <f>'Sampling Data'!AI182</f>
        <v/>
      </c>
      <c r="B182" s="114" t="str">
        <f>'Sampling Data'!A182</f>
        <v>2607 CIN 26-G   (AV)</v>
      </c>
      <c r="C182" s="114">
        <f>'Sampling Data'!B182</f>
        <v>7</v>
      </c>
      <c r="D182" s="114">
        <f>'Sampling Data'!C182</f>
        <v>4</v>
      </c>
      <c r="E182" s="115">
        <f>'Sampling Data'!D182</f>
        <v>0</v>
      </c>
      <c r="F182" s="115">
        <f>'Sampling Data'!E182</f>
        <v>0</v>
      </c>
      <c r="G182" s="115">
        <f>'Sampling Data'!F182</f>
        <v>0</v>
      </c>
      <c r="H182" s="115">
        <f>'Sampling Data'!G182</f>
        <v>0</v>
      </c>
      <c r="I182" s="115">
        <f>'Sampling Data'!H182</f>
        <v>0</v>
      </c>
      <c r="J182" s="115">
        <f>'Sampling Data'!I182</f>
        <v>0</v>
      </c>
      <c r="K182" s="115">
        <f>'Sampling Data'!J182</f>
        <v>0</v>
      </c>
      <c r="L182" s="115">
        <f>'Sampling Data'!K182</f>
        <v>0</v>
      </c>
      <c r="M182" s="115">
        <f>'Sampling Data'!L182</f>
        <v>0</v>
      </c>
      <c r="N182" s="115">
        <f>'Sampling Data'!M182</f>
        <v>0</v>
      </c>
      <c r="O182" s="114">
        <f>'Sampling Data'!N182</f>
        <v>0</v>
      </c>
      <c r="P182" s="114">
        <f>'Sampling Data'!O182</f>
        <v>0</v>
      </c>
      <c r="Q182" s="114">
        <f>'Sampling Data'!P182</f>
        <v>11</v>
      </c>
      <c r="R182" s="114">
        <f>'Sampling Data'!AJ182</f>
        <v>0</v>
      </c>
      <c r="S182" s="116"/>
      <c r="T182" s="116"/>
      <c r="U182" s="117"/>
      <c r="V182" s="117"/>
      <c r="W182" s="116"/>
      <c r="X182" s="116"/>
      <c r="Y182" s="116"/>
      <c r="Z182" s="116"/>
      <c r="AA182" s="15"/>
      <c r="AB182" s="15"/>
      <c r="AC182" s="15"/>
      <c r="AD182" s="15"/>
      <c r="AE182" s="118" t="str">
        <f>IF(NOT(ISBLANK(Audit[[#This Row],[Audit Winning Candidate]])), Audit[[#This Row],[Audit Winning Candidate]]-Audit[[#This Row],[Winning Candidate]], "")</f>
        <v/>
      </c>
      <c r="AF182" s="114" t="str">
        <f>IF(NOT(ISBLANK(Audit[[#This Row],[Audit Losing Candidate]])), Audit[[#This Row],[Audit Losing Candidate]]-Audit[[#This Row],[Losing Candidate]], "")</f>
        <v/>
      </c>
      <c r="AG182" s="114" t="str">
        <f>IF(NOT(ISBLANK(Audit[[#This Row],[Audit Candidate 3]])), Audit[[#This Row],[Audit Candidate 3]]-Audit[[#This Row],[Candidate 3]], "")</f>
        <v/>
      </c>
      <c r="AH182" s="114" t="str">
        <f>IF(NOT(ISBLANK(Audit[[#This Row],[Audit Candidate 4]])),Audit[[#This Row],[Audit Candidate 4]]-Audit[[#This Row],[Candidate 4]], "")</f>
        <v/>
      </c>
      <c r="AI182" s="114" t="str">
        <f>IF(NOT(ISBLANK(Audit[[#This Row],[Audit Candidate 5]])), Audit[[#This Row],[Audit Candidate 5]]-Audit[[#This Row],[Candidate 5]], "")</f>
        <v/>
      </c>
      <c r="AJ182" s="114" t="str">
        <f>IF(NOT(ISBLANK(Audit[[#This Row],[Audit Candidate 6]])), Audit[[#This Row],[Audit Candidate 6]]-Audit[[#This Row],[Candidate 6]], "")</f>
        <v/>
      </c>
      <c r="AK182" s="114" t="str">
        <f>IF(NOT(ISBLANK(Audit[[#This Row],[Audit Candidate 7]])), Audit[[#This Row],[Audit Candidate 7]]-Audit[[#This Row],[Candidate 7]], "")</f>
        <v/>
      </c>
      <c r="AL182" s="114" t="str">
        <f>IF(NOT(ISBLANK(Audit[[#This Row],[Audit Candidate 8]])), Audit[[#This Row],[Audit Candidate 8]]-Audit[[#This Row],[Candidate 8]], "")</f>
        <v/>
      </c>
      <c r="AM182" s="114" t="str">
        <f>IF(NOT(ISBLANK(Audit[[#This Row],[Audit Candidate 9]])), Audit[[#This Row],[Audit Candidate 9]]-Audit[[#This Row],[Candidate 9]], "")</f>
        <v/>
      </c>
      <c r="AN182" s="114" t="str">
        <f>IF(NOT(ISBLANK(Audit[[#This Row],[Audit Candidate 10]])), Audit[[#This Row],[Audit Candidate 10]]-Audit[[#This Row],[Candidate 10]], "")</f>
        <v/>
      </c>
      <c r="AO182" s="114" t="str">
        <f>IF(NOT(ISBLANK(Audit[[#This Row],[Audit Candidate 11]])), Audit[[#This Row],[Audit Candidate 11]]-Audit[[#This Row],[Candidate 11]], "")</f>
        <v/>
      </c>
      <c r="AP182" s="114" t="str">
        <f>IF(NOT(ISBLANK(Audit[[#This Row],[Audit Candidate 12]])), Audit[[#This Row],[Audit Candidate 12]]-Audit[[#This Row],[Candidate 12]], "")</f>
        <v/>
      </c>
      <c r="AQ182" s="114">
        <f>SUMIF(Audit[[#This Row],[Difference Winner]:[Difference Candidate 12]], "&gt;0")</f>
        <v>0</v>
      </c>
      <c r="AR182" s="114">
        <f>SUM(Audit[[#This Row],[Difference Winner]:[Difference Candidate 12]])</f>
        <v>0</v>
      </c>
      <c r="AS182" s="114">
        <f>IF(Audit[[#This Row],[Times p Drawn - With Replacement]]&gt;0, IF(Audit[[#This Row],[Canceled Differences]]&lt;0, Audit[[#This Row],[Max Differences]]+ABS(Audit[[#This Row],[Canceled Differences]]), Audit[[#This Row],[Max Differences]]), 0)</f>
        <v>0</v>
      </c>
      <c r="AT182" s="114">
        <f>'Sampling Data'!AB182</f>
        <v>1.0160307067058026E-3</v>
      </c>
      <c r="AU182" s="114">
        <f>IF(
      SUM(Audit[[#This Row],[Audit Losing Candidate]:[Audit Candidate 12]])
      &lt;&gt;0,
      (Audit[[#This Row],[Winning Candidate]]-Audit[[#This Row],[Losing Candidate]]-(Audit[[#This Row],[Audit Winning Candidate]]-Audit[[#This Row],[Audit Losing Candidate]]))/(Audit[[#Totals],[Winning Candidate]]-Audit[[#Totals],[Losing Candidate]]),
      0
)</f>
        <v>0</v>
      </c>
      <c r="AV1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2" s="114">
        <f>IF(Audit[[#This Row],[Max Relative Error (ep)]] = 0, 0, Audit[[#This Row],[Max Relative Error (ep)]]/Audit[[#This Row],[Error Bound (up) - Max. possible relative overstatement]])</f>
        <v>0</v>
      </c>
      <c r="BH1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2" s="114">
        <f t="shared" si="3"/>
        <v>1</v>
      </c>
      <c r="BJ182" s="114">
        <f>PRODUCT($BI$5:BI182)</f>
        <v>0.20973752198051165</v>
      </c>
      <c r="BK182" s="112">
        <f>1 - Audit[[#This Row],[K-M P Value]]</f>
        <v>0.79026247801948835</v>
      </c>
      <c r="BL182" s="114" t="str">
        <f>IF(Audit[[#This Row],[K-M P Value]]&gt;1-'General Info'!$B$12,"Continue", "Stop")</f>
        <v>Continue</v>
      </c>
      <c r="BM182" s="113" t="b">
        <f>IF(Audit[[#This Row],[Status - Continue or stop audit]] = "Continue", TRUE, IF(BL181 = "Continue", TRUE, FALSE))</f>
        <v>1</v>
      </c>
      <c r="BN182" s="113"/>
    </row>
    <row r="183" spans="1:66" ht="15" hidden="1" customHeight="1" x14ac:dyDescent="0.35">
      <c r="A183" s="114" t="str">
        <f>'Sampling Data'!AI183</f>
        <v/>
      </c>
      <c r="B183" s="114" t="str">
        <f>'Sampling Data'!A183</f>
        <v>2608 CIN 26-H   (AV)</v>
      </c>
      <c r="C183" s="114">
        <f>'Sampling Data'!B183</f>
        <v>1</v>
      </c>
      <c r="D183" s="114">
        <f>'Sampling Data'!C183</f>
        <v>0</v>
      </c>
      <c r="E183" s="115">
        <f>'Sampling Data'!D183</f>
        <v>0</v>
      </c>
      <c r="F183" s="115">
        <f>'Sampling Data'!E183</f>
        <v>0</v>
      </c>
      <c r="G183" s="115">
        <f>'Sampling Data'!F183</f>
        <v>0</v>
      </c>
      <c r="H183" s="115">
        <f>'Sampling Data'!G183</f>
        <v>0</v>
      </c>
      <c r="I183" s="115">
        <f>'Sampling Data'!H183</f>
        <v>0</v>
      </c>
      <c r="J183" s="115">
        <f>'Sampling Data'!I183</f>
        <v>0</v>
      </c>
      <c r="K183" s="115">
        <f>'Sampling Data'!J183</f>
        <v>0</v>
      </c>
      <c r="L183" s="115">
        <f>'Sampling Data'!K183</f>
        <v>0</v>
      </c>
      <c r="M183" s="115">
        <f>'Sampling Data'!L183</f>
        <v>0</v>
      </c>
      <c r="N183" s="115">
        <f>'Sampling Data'!M183</f>
        <v>0</v>
      </c>
      <c r="O183" s="114">
        <f>'Sampling Data'!N183</f>
        <v>0</v>
      </c>
      <c r="P183" s="114">
        <f>'Sampling Data'!O183</f>
        <v>0</v>
      </c>
      <c r="Q183" s="114">
        <f>'Sampling Data'!P183</f>
        <v>1</v>
      </c>
      <c r="R183" s="114">
        <f>'Sampling Data'!AJ183</f>
        <v>0</v>
      </c>
      <c r="S183" s="116"/>
      <c r="T183" s="116"/>
      <c r="U183" s="117"/>
      <c r="V183" s="117"/>
      <c r="W183" s="116"/>
      <c r="X183" s="116"/>
      <c r="Y183" s="116"/>
      <c r="Z183" s="116"/>
      <c r="AA183" s="15"/>
      <c r="AB183" s="15"/>
      <c r="AC183" s="15"/>
      <c r="AD183" s="15"/>
      <c r="AE183" s="118" t="str">
        <f>IF(NOT(ISBLANK(Audit[[#This Row],[Audit Winning Candidate]])), Audit[[#This Row],[Audit Winning Candidate]]-Audit[[#This Row],[Winning Candidate]], "")</f>
        <v/>
      </c>
      <c r="AF183" s="114" t="str">
        <f>IF(NOT(ISBLANK(Audit[[#This Row],[Audit Losing Candidate]])), Audit[[#This Row],[Audit Losing Candidate]]-Audit[[#This Row],[Losing Candidate]], "")</f>
        <v/>
      </c>
      <c r="AG183" s="114" t="str">
        <f>IF(NOT(ISBLANK(Audit[[#This Row],[Audit Candidate 3]])), Audit[[#This Row],[Audit Candidate 3]]-Audit[[#This Row],[Candidate 3]], "")</f>
        <v/>
      </c>
      <c r="AH183" s="114" t="str">
        <f>IF(NOT(ISBLANK(Audit[[#This Row],[Audit Candidate 4]])),Audit[[#This Row],[Audit Candidate 4]]-Audit[[#This Row],[Candidate 4]], "")</f>
        <v/>
      </c>
      <c r="AI183" s="114" t="str">
        <f>IF(NOT(ISBLANK(Audit[[#This Row],[Audit Candidate 5]])), Audit[[#This Row],[Audit Candidate 5]]-Audit[[#This Row],[Candidate 5]], "")</f>
        <v/>
      </c>
      <c r="AJ183" s="114" t="str">
        <f>IF(NOT(ISBLANK(Audit[[#This Row],[Audit Candidate 6]])), Audit[[#This Row],[Audit Candidate 6]]-Audit[[#This Row],[Candidate 6]], "")</f>
        <v/>
      </c>
      <c r="AK183" s="114" t="str">
        <f>IF(NOT(ISBLANK(Audit[[#This Row],[Audit Candidate 7]])), Audit[[#This Row],[Audit Candidate 7]]-Audit[[#This Row],[Candidate 7]], "")</f>
        <v/>
      </c>
      <c r="AL183" s="114" t="str">
        <f>IF(NOT(ISBLANK(Audit[[#This Row],[Audit Candidate 8]])), Audit[[#This Row],[Audit Candidate 8]]-Audit[[#This Row],[Candidate 8]], "")</f>
        <v/>
      </c>
      <c r="AM183" s="114" t="str">
        <f>IF(NOT(ISBLANK(Audit[[#This Row],[Audit Candidate 9]])), Audit[[#This Row],[Audit Candidate 9]]-Audit[[#This Row],[Candidate 9]], "")</f>
        <v/>
      </c>
      <c r="AN183" s="114" t="str">
        <f>IF(NOT(ISBLANK(Audit[[#This Row],[Audit Candidate 10]])), Audit[[#This Row],[Audit Candidate 10]]-Audit[[#This Row],[Candidate 10]], "")</f>
        <v/>
      </c>
      <c r="AO183" s="114" t="str">
        <f>IF(NOT(ISBLANK(Audit[[#This Row],[Audit Candidate 11]])), Audit[[#This Row],[Audit Candidate 11]]-Audit[[#This Row],[Candidate 11]], "")</f>
        <v/>
      </c>
      <c r="AP183" s="114" t="str">
        <f>IF(NOT(ISBLANK(Audit[[#This Row],[Audit Candidate 12]])), Audit[[#This Row],[Audit Candidate 12]]-Audit[[#This Row],[Candidate 12]], "")</f>
        <v/>
      </c>
      <c r="AQ183" s="114">
        <f>SUMIF(Audit[[#This Row],[Difference Winner]:[Difference Candidate 12]], "&gt;0")</f>
        <v>0</v>
      </c>
      <c r="AR183" s="114">
        <f>SUM(Audit[[#This Row],[Difference Winner]:[Difference Candidate 12]])</f>
        <v>0</v>
      </c>
      <c r="AS183" s="114">
        <f>IF(Audit[[#This Row],[Times p Drawn - With Replacement]]&gt;0, IF(Audit[[#This Row],[Canceled Differences]]&lt;0, Audit[[#This Row],[Max Differences]]+ABS(Audit[[#This Row],[Canceled Differences]]), Audit[[#This Row],[Max Differences]]), 0)</f>
        <v>0</v>
      </c>
      <c r="AT183" s="114">
        <f>'Sampling Data'!AB183</f>
        <v>1.2641425952847481E-4</v>
      </c>
      <c r="AU183" s="114">
        <f>IF(
      SUM(Audit[[#This Row],[Audit Losing Candidate]:[Audit Candidate 12]])
      &lt;&gt;0,
      (Audit[[#This Row],[Winning Candidate]]-Audit[[#This Row],[Losing Candidate]]-(Audit[[#This Row],[Audit Winning Candidate]]-Audit[[#This Row],[Audit Losing Candidate]]))/(Audit[[#Totals],[Winning Candidate]]-Audit[[#Totals],[Losing Candidate]]),
      0
)</f>
        <v>0</v>
      </c>
      <c r="AV1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3" s="114">
        <f>IF(Audit[[#This Row],[Max Relative Error (ep)]] = 0, 0, Audit[[#This Row],[Max Relative Error (ep)]]/Audit[[#This Row],[Error Bound (up) - Max. possible relative overstatement]])</f>
        <v>0</v>
      </c>
      <c r="BH1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3" s="114">
        <f t="shared" si="3"/>
        <v>1</v>
      </c>
      <c r="BJ183" s="114">
        <f>PRODUCT($BI$5:BI183)</f>
        <v>0.20973752198051165</v>
      </c>
      <c r="BK183" s="112">
        <f>1 - Audit[[#This Row],[K-M P Value]]</f>
        <v>0.79026247801948835</v>
      </c>
      <c r="BL183" s="114" t="str">
        <f>IF(Audit[[#This Row],[K-M P Value]]&gt;1-'General Info'!$B$12,"Continue", "Stop")</f>
        <v>Continue</v>
      </c>
      <c r="BM183" s="113" t="b">
        <f>IF(Audit[[#This Row],[Status - Continue or stop audit]] = "Continue", TRUE, IF(BL182 = "Continue", TRUE, FALSE))</f>
        <v>1</v>
      </c>
      <c r="BN183" s="113"/>
    </row>
    <row r="184" spans="1:66" ht="15" hidden="1" customHeight="1" x14ac:dyDescent="0.35">
      <c r="A184" s="114" t="str">
        <f>'Sampling Data'!AI184</f>
        <v/>
      </c>
      <c r="B184" s="114" t="str">
        <f>'Sampling Data'!A184</f>
        <v>2609 CIN 26-I   (AV)</v>
      </c>
      <c r="C184" s="114">
        <f>'Sampling Data'!B184</f>
        <v>7</v>
      </c>
      <c r="D184" s="114">
        <f>'Sampling Data'!C184</f>
        <v>2</v>
      </c>
      <c r="E184" s="115">
        <f>'Sampling Data'!D184</f>
        <v>2</v>
      </c>
      <c r="F184" s="115">
        <f>'Sampling Data'!E184</f>
        <v>0</v>
      </c>
      <c r="G184" s="115">
        <f>'Sampling Data'!F184</f>
        <v>0</v>
      </c>
      <c r="H184" s="115">
        <f>'Sampling Data'!G184</f>
        <v>0</v>
      </c>
      <c r="I184" s="115">
        <f>'Sampling Data'!H184</f>
        <v>0</v>
      </c>
      <c r="J184" s="115">
        <f>'Sampling Data'!I184</f>
        <v>0</v>
      </c>
      <c r="K184" s="115">
        <f>'Sampling Data'!J184</f>
        <v>0</v>
      </c>
      <c r="L184" s="115">
        <f>'Sampling Data'!K184</f>
        <v>0</v>
      </c>
      <c r="M184" s="115">
        <f>'Sampling Data'!L184</f>
        <v>0</v>
      </c>
      <c r="N184" s="115">
        <f>'Sampling Data'!M184</f>
        <v>0</v>
      </c>
      <c r="O184" s="114">
        <f>'Sampling Data'!N184</f>
        <v>0</v>
      </c>
      <c r="P184" s="114">
        <f>'Sampling Data'!O184</f>
        <v>0</v>
      </c>
      <c r="Q184" s="114">
        <f>'Sampling Data'!P184</f>
        <v>11</v>
      </c>
      <c r="R184" s="114">
        <f>'Sampling Data'!AJ184</f>
        <v>0</v>
      </c>
      <c r="S184" s="116"/>
      <c r="T184" s="116"/>
      <c r="U184" s="117"/>
      <c r="V184" s="117"/>
      <c r="W184" s="116"/>
      <c r="X184" s="116"/>
      <c r="Y184" s="116"/>
      <c r="Z184" s="116"/>
      <c r="AA184" s="15"/>
      <c r="AB184" s="15"/>
      <c r="AC184" s="15"/>
      <c r="AD184" s="15"/>
      <c r="AE184" s="118" t="str">
        <f>IF(NOT(ISBLANK(Audit[[#This Row],[Audit Winning Candidate]])), Audit[[#This Row],[Audit Winning Candidate]]-Audit[[#This Row],[Winning Candidate]], "")</f>
        <v/>
      </c>
      <c r="AF184" s="114" t="str">
        <f>IF(NOT(ISBLANK(Audit[[#This Row],[Audit Losing Candidate]])), Audit[[#This Row],[Audit Losing Candidate]]-Audit[[#This Row],[Losing Candidate]], "")</f>
        <v/>
      </c>
      <c r="AG184" s="114" t="str">
        <f>IF(NOT(ISBLANK(Audit[[#This Row],[Audit Candidate 3]])), Audit[[#This Row],[Audit Candidate 3]]-Audit[[#This Row],[Candidate 3]], "")</f>
        <v/>
      </c>
      <c r="AH184" s="114" t="str">
        <f>IF(NOT(ISBLANK(Audit[[#This Row],[Audit Candidate 4]])),Audit[[#This Row],[Audit Candidate 4]]-Audit[[#This Row],[Candidate 4]], "")</f>
        <v/>
      </c>
      <c r="AI184" s="114" t="str">
        <f>IF(NOT(ISBLANK(Audit[[#This Row],[Audit Candidate 5]])), Audit[[#This Row],[Audit Candidate 5]]-Audit[[#This Row],[Candidate 5]], "")</f>
        <v/>
      </c>
      <c r="AJ184" s="114" t="str">
        <f>IF(NOT(ISBLANK(Audit[[#This Row],[Audit Candidate 6]])), Audit[[#This Row],[Audit Candidate 6]]-Audit[[#This Row],[Candidate 6]], "")</f>
        <v/>
      </c>
      <c r="AK184" s="114" t="str">
        <f>IF(NOT(ISBLANK(Audit[[#This Row],[Audit Candidate 7]])), Audit[[#This Row],[Audit Candidate 7]]-Audit[[#This Row],[Candidate 7]], "")</f>
        <v/>
      </c>
      <c r="AL184" s="114" t="str">
        <f>IF(NOT(ISBLANK(Audit[[#This Row],[Audit Candidate 8]])), Audit[[#This Row],[Audit Candidate 8]]-Audit[[#This Row],[Candidate 8]], "")</f>
        <v/>
      </c>
      <c r="AM184" s="114" t="str">
        <f>IF(NOT(ISBLANK(Audit[[#This Row],[Audit Candidate 9]])), Audit[[#This Row],[Audit Candidate 9]]-Audit[[#This Row],[Candidate 9]], "")</f>
        <v/>
      </c>
      <c r="AN184" s="114" t="str">
        <f>IF(NOT(ISBLANK(Audit[[#This Row],[Audit Candidate 10]])), Audit[[#This Row],[Audit Candidate 10]]-Audit[[#This Row],[Candidate 10]], "")</f>
        <v/>
      </c>
      <c r="AO184" s="114" t="str">
        <f>IF(NOT(ISBLANK(Audit[[#This Row],[Audit Candidate 11]])), Audit[[#This Row],[Audit Candidate 11]]-Audit[[#This Row],[Candidate 11]], "")</f>
        <v/>
      </c>
      <c r="AP184" s="114" t="str">
        <f>IF(NOT(ISBLANK(Audit[[#This Row],[Audit Candidate 12]])), Audit[[#This Row],[Audit Candidate 12]]-Audit[[#This Row],[Candidate 12]], "")</f>
        <v/>
      </c>
      <c r="AQ184" s="114">
        <f>SUMIF(Audit[[#This Row],[Difference Winner]:[Difference Candidate 12]], "&gt;0")</f>
        <v>0</v>
      </c>
      <c r="AR184" s="114">
        <f>SUM(Audit[[#This Row],[Difference Winner]:[Difference Candidate 12]])</f>
        <v>0</v>
      </c>
      <c r="AS184" s="114">
        <f>IF(Audit[[#This Row],[Times p Drawn - With Replacement]]&gt;0, IF(Audit[[#This Row],[Canceled Differences]]&lt;0, Audit[[#This Row],[Max Differences]]+ABS(Audit[[#This Row],[Canceled Differences]]), Audit[[#This Row],[Max Differences]]), 0)</f>
        <v>0</v>
      </c>
      <c r="AT184" s="114">
        <f>'Sampling Data'!AB184</f>
        <v>1.0113140762277985E-3</v>
      </c>
      <c r="AU184" s="114">
        <f>IF(
      SUM(Audit[[#This Row],[Audit Losing Candidate]:[Audit Candidate 12]])
      &lt;&gt;0,
      (Audit[[#This Row],[Winning Candidate]]-Audit[[#This Row],[Losing Candidate]]-(Audit[[#This Row],[Audit Winning Candidate]]-Audit[[#This Row],[Audit Losing Candidate]]))/(Audit[[#Totals],[Winning Candidate]]-Audit[[#Totals],[Losing Candidate]]),
      0
)</f>
        <v>0</v>
      </c>
      <c r="AV1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4" s="114">
        <f>IF(Audit[[#This Row],[Max Relative Error (ep)]] = 0, 0, Audit[[#This Row],[Max Relative Error (ep)]]/Audit[[#This Row],[Error Bound (up) - Max. possible relative overstatement]])</f>
        <v>0</v>
      </c>
      <c r="BH1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4" s="114">
        <f t="shared" si="3"/>
        <v>1</v>
      </c>
      <c r="BJ184" s="114">
        <f>PRODUCT($BI$5:BI184)</f>
        <v>0.20973752198051165</v>
      </c>
      <c r="BK184" s="112">
        <f>1 - Audit[[#This Row],[K-M P Value]]</f>
        <v>0.79026247801948835</v>
      </c>
      <c r="BL184" s="114" t="str">
        <f>IF(Audit[[#This Row],[K-M P Value]]&gt;1-'General Info'!$B$12,"Continue", "Stop")</f>
        <v>Continue</v>
      </c>
      <c r="BM184" s="113" t="b">
        <f>IF(Audit[[#This Row],[Status - Continue or stop audit]] = "Continue", TRUE, IF(BL183 = "Continue", TRUE, FALSE))</f>
        <v>1</v>
      </c>
      <c r="BN184" s="113"/>
    </row>
    <row r="185" spans="1:66" ht="15" hidden="1" customHeight="1" x14ac:dyDescent="0.35">
      <c r="A185" s="114" t="str">
        <f>'Sampling Data'!AI185</f>
        <v/>
      </c>
      <c r="B185" s="114" t="str">
        <f>'Sampling Data'!A185</f>
        <v>2610 CIN 26-J   (AV)</v>
      </c>
      <c r="C185" s="114">
        <f>'Sampling Data'!B185</f>
        <v>7</v>
      </c>
      <c r="D185" s="114">
        <f>'Sampling Data'!C185</f>
        <v>5</v>
      </c>
      <c r="E185" s="115">
        <f>'Sampling Data'!D185</f>
        <v>0</v>
      </c>
      <c r="F185" s="115">
        <f>'Sampling Data'!E185</f>
        <v>0</v>
      </c>
      <c r="G185" s="115">
        <f>'Sampling Data'!F185</f>
        <v>0</v>
      </c>
      <c r="H185" s="115">
        <f>'Sampling Data'!G185</f>
        <v>0</v>
      </c>
      <c r="I185" s="115">
        <f>'Sampling Data'!H185</f>
        <v>0</v>
      </c>
      <c r="J185" s="115">
        <f>'Sampling Data'!I185</f>
        <v>0</v>
      </c>
      <c r="K185" s="115">
        <f>'Sampling Data'!J185</f>
        <v>0</v>
      </c>
      <c r="L185" s="115">
        <f>'Sampling Data'!K185</f>
        <v>0</v>
      </c>
      <c r="M185" s="115">
        <f>'Sampling Data'!L185</f>
        <v>0</v>
      </c>
      <c r="N185" s="115">
        <f>'Sampling Data'!M185</f>
        <v>0</v>
      </c>
      <c r="O185" s="114">
        <f>'Sampling Data'!N185</f>
        <v>0</v>
      </c>
      <c r="P185" s="114">
        <f>'Sampling Data'!O185</f>
        <v>0</v>
      </c>
      <c r="Q185" s="114">
        <f>'Sampling Data'!P185</f>
        <v>12</v>
      </c>
      <c r="R185" s="114">
        <f>'Sampling Data'!AJ185</f>
        <v>0</v>
      </c>
      <c r="S185" s="116"/>
      <c r="T185" s="116"/>
      <c r="U185" s="117"/>
      <c r="V185" s="117"/>
      <c r="W185" s="116"/>
      <c r="X185" s="116"/>
      <c r="Y185" s="116"/>
      <c r="Z185" s="116"/>
      <c r="AA185" s="15"/>
      <c r="AB185" s="15"/>
      <c r="AC185" s="15"/>
      <c r="AD185" s="15"/>
      <c r="AE185" s="118" t="str">
        <f>IF(NOT(ISBLANK(Audit[[#This Row],[Audit Winning Candidate]])), Audit[[#This Row],[Audit Winning Candidate]]-Audit[[#This Row],[Winning Candidate]], "")</f>
        <v/>
      </c>
      <c r="AF185" s="114" t="str">
        <f>IF(NOT(ISBLANK(Audit[[#This Row],[Audit Losing Candidate]])), Audit[[#This Row],[Audit Losing Candidate]]-Audit[[#This Row],[Losing Candidate]], "")</f>
        <v/>
      </c>
      <c r="AG185" s="114" t="str">
        <f>IF(NOT(ISBLANK(Audit[[#This Row],[Audit Candidate 3]])), Audit[[#This Row],[Audit Candidate 3]]-Audit[[#This Row],[Candidate 3]], "")</f>
        <v/>
      </c>
      <c r="AH185" s="114" t="str">
        <f>IF(NOT(ISBLANK(Audit[[#This Row],[Audit Candidate 4]])),Audit[[#This Row],[Audit Candidate 4]]-Audit[[#This Row],[Candidate 4]], "")</f>
        <v/>
      </c>
      <c r="AI185" s="114" t="str">
        <f>IF(NOT(ISBLANK(Audit[[#This Row],[Audit Candidate 5]])), Audit[[#This Row],[Audit Candidate 5]]-Audit[[#This Row],[Candidate 5]], "")</f>
        <v/>
      </c>
      <c r="AJ185" s="114" t="str">
        <f>IF(NOT(ISBLANK(Audit[[#This Row],[Audit Candidate 6]])), Audit[[#This Row],[Audit Candidate 6]]-Audit[[#This Row],[Candidate 6]], "")</f>
        <v/>
      </c>
      <c r="AK185" s="114" t="str">
        <f>IF(NOT(ISBLANK(Audit[[#This Row],[Audit Candidate 7]])), Audit[[#This Row],[Audit Candidate 7]]-Audit[[#This Row],[Candidate 7]], "")</f>
        <v/>
      </c>
      <c r="AL185" s="114" t="str">
        <f>IF(NOT(ISBLANK(Audit[[#This Row],[Audit Candidate 8]])), Audit[[#This Row],[Audit Candidate 8]]-Audit[[#This Row],[Candidate 8]], "")</f>
        <v/>
      </c>
      <c r="AM185" s="114" t="str">
        <f>IF(NOT(ISBLANK(Audit[[#This Row],[Audit Candidate 9]])), Audit[[#This Row],[Audit Candidate 9]]-Audit[[#This Row],[Candidate 9]], "")</f>
        <v/>
      </c>
      <c r="AN185" s="114" t="str">
        <f>IF(NOT(ISBLANK(Audit[[#This Row],[Audit Candidate 10]])), Audit[[#This Row],[Audit Candidate 10]]-Audit[[#This Row],[Candidate 10]], "")</f>
        <v/>
      </c>
      <c r="AO185" s="114" t="str">
        <f>IF(NOT(ISBLANK(Audit[[#This Row],[Audit Candidate 11]])), Audit[[#This Row],[Audit Candidate 11]]-Audit[[#This Row],[Candidate 11]], "")</f>
        <v/>
      </c>
      <c r="AP185" s="114" t="str">
        <f>IF(NOT(ISBLANK(Audit[[#This Row],[Audit Candidate 12]])), Audit[[#This Row],[Audit Candidate 12]]-Audit[[#This Row],[Candidate 12]], "")</f>
        <v/>
      </c>
      <c r="AQ185" s="114">
        <f>SUMIF(Audit[[#This Row],[Difference Winner]:[Difference Candidate 12]], "&gt;0")</f>
        <v>0</v>
      </c>
      <c r="AR185" s="114">
        <f>SUM(Audit[[#This Row],[Difference Winner]:[Difference Candidate 12]])</f>
        <v>0</v>
      </c>
      <c r="AS185" s="114">
        <f>IF(Audit[[#This Row],[Times p Drawn - With Replacement]]&gt;0, IF(Audit[[#This Row],[Canceled Differences]]&lt;0, Audit[[#This Row],[Max Differences]]+ABS(Audit[[#This Row],[Canceled Differences]]), Audit[[#This Row],[Max Differences]]), 0)</f>
        <v>0</v>
      </c>
      <c r="AT185" s="114">
        <f>'Sampling Data'!AB185</f>
        <v>1.0724768570783473E-3</v>
      </c>
      <c r="AU185" s="114">
        <f>IF(
      SUM(Audit[[#This Row],[Audit Losing Candidate]:[Audit Candidate 12]])
      &lt;&gt;0,
      (Audit[[#This Row],[Winning Candidate]]-Audit[[#This Row],[Losing Candidate]]-(Audit[[#This Row],[Audit Winning Candidate]]-Audit[[#This Row],[Audit Losing Candidate]]))/(Audit[[#Totals],[Winning Candidate]]-Audit[[#Totals],[Losing Candidate]]),
      0
)</f>
        <v>0</v>
      </c>
      <c r="AV1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5" s="114">
        <f>IF(Audit[[#This Row],[Max Relative Error (ep)]] = 0, 0, Audit[[#This Row],[Max Relative Error (ep)]]/Audit[[#This Row],[Error Bound (up) - Max. possible relative overstatement]])</f>
        <v>0</v>
      </c>
      <c r="BH1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5" s="114">
        <f t="shared" si="3"/>
        <v>1</v>
      </c>
      <c r="BJ185" s="114">
        <f>PRODUCT($BI$5:BI185)</f>
        <v>0.20973752198051165</v>
      </c>
      <c r="BK185" s="112">
        <f>1 - Audit[[#This Row],[K-M P Value]]</f>
        <v>0.79026247801948835</v>
      </c>
      <c r="BL185" s="114" t="str">
        <f>IF(Audit[[#This Row],[K-M P Value]]&gt;1-'General Info'!$B$12,"Continue", "Stop")</f>
        <v>Continue</v>
      </c>
      <c r="BM185" s="113" t="b">
        <f>IF(Audit[[#This Row],[Status - Continue or stop audit]] = "Continue", TRUE, IF(BL184 = "Continue", TRUE, FALSE))</f>
        <v>1</v>
      </c>
      <c r="BN185" s="113"/>
    </row>
    <row r="186" spans="1:66" ht="15" hidden="1" customHeight="1" x14ac:dyDescent="0.35">
      <c r="A186" s="114" t="str">
        <f>'Sampling Data'!AI186</f>
        <v/>
      </c>
      <c r="B186" s="114" t="str">
        <f>'Sampling Data'!A186</f>
        <v>2611 CIN 26-K   (AV)</v>
      </c>
      <c r="C186" s="114">
        <f>'Sampling Data'!B186</f>
        <v>8</v>
      </c>
      <c r="D186" s="114">
        <f>'Sampling Data'!C186</f>
        <v>4</v>
      </c>
      <c r="E186" s="115">
        <f>'Sampling Data'!D186</f>
        <v>0</v>
      </c>
      <c r="F186" s="115">
        <f>'Sampling Data'!E186</f>
        <v>0</v>
      </c>
      <c r="G186" s="115">
        <f>'Sampling Data'!F186</f>
        <v>0</v>
      </c>
      <c r="H186" s="115">
        <f>'Sampling Data'!G186</f>
        <v>0</v>
      </c>
      <c r="I186" s="115">
        <f>'Sampling Data'!H186</f>
        <v>0</v>
      </c>
      <c r="J186" s="115">
        <f>'Sampling Data'!I186</f>
        <v>0</v>
      </c>
      <c r="K186" s="115">
        <f>'Sampling Data'!J186</f>
        <v>0</v>
      </c>
      <c r="L186" s="115">
        <f>'Sampling Data'!K186</f>
        <v>0</v>
      </c>
      <c r="M186" s="115">
        <f>'Sampling Data'!L186</f>
        <v>0</v>
      </c>
      <c r="N186" s="115">
        <f>'Sampling Data'!M186</f>
        <v>0</v>
      </c>
      <c r="O186" s="114">
        <f>'Sampling Data'!N186</f>
        <v>0</v>
      </c>
      <c r="P186" s="114">
        <f>'Sampling Data'!O186</f>
        <v>0</v>
      </c>
      <c r="Q186" s="114">
        <f>'Sampling Data'!P186</f>
        <v>12</v>
      </c>
      <c r="R186" s="114">
        <f>'Sampling Data'!AJ186</f>
        <v>0</v>
      </c>
      <c r="S186" s="116"/>
      <c r="T186" s="116"/>
      <c r="U186" s="117"/>
      <c r="V186" s="117"/>
      <c r="W186" s="116"/>
      <c r="X186" s="116"/>
      <c r="Y186" s="116"/>
      <c r="Z186" s="116"/>
      <c r="AA186" s="15"/>
      <c r="AB186" s="15"/>
      <c r="AC186" s="15"/>
      <c r="AD186" s="15"/>
      <c r="AE186" s="118" t="str">
        <f>IF(NOT(ISBLANK(Audit[[#This Row],[Audit Winning Candidate]])), Audit[[#This Row],[Audit Winning Candidate]]-Audit[[#This Row],[Winning Candidate]], "")</f>
        <v/>
      </c>
      <c r="AF186" s="114" t="str">
        <f>IF(NOT(ISBLANK(Audit[[#This Row],[Audit Losing Candidate]])), Audit[[#This Row],[Audit Losing Candidate]]-Audit[[#This Row],[Losing Candidate]], "")</f>
        <v/>
      </c>
      <c r="AG186" s="114" t="str">
        <f>IF(NOT(ISBLANK(Audit[[#This Row],[Audit Candidate 3]])), Audit[[#This Row],[Audit Candidate 3]]-Audit[[#This Row],[Candidate 3]], "")</f>
        <v/>
      </c>
      <c r="AH186" s="114" t="str">
        <f>IF(NOT(ISBLANK(Audit[[#This Row],[Audit Candidate 4]])),Audit[[#This Row],[Audit Candidate 4]]-Audit[[#This Row],[Candidate 4]], "")</f>
        <v/>
      </c>
      <c r="AI186" s="114" t="str">
        <f>IF(NOT(ISBLANK(Audit[[#This Row],[Audit Candidate 5]])), Audit[[#This Row],[Audit Candidate 5]]-Audit[[#This Row],[Candidate 5]], "")</f>
        <v/>
      </c>
      <c r="AJ186" s="114" t="str">
        <f>IF(NOT(ISBLANK(Audit[[#This Row],[Audit Candidate 6]])), Audit[[#This Row],[Audit Candidate 6]]-Audit[[#This Row],[Candidate 6]], "")</f>
        <v/>
      </c>
      <c r="AK186" s="114" t="str">
        <f>IF(NOT(ISBLANK(Audit[[#This Row],[Audit Candidate 7]])), Audit[[#This Row],[Audit Candidate 7]]-Audit[[#This Row],[Candidate 7]], "")</f>
        <v/>
      </c>
      <c r="AL186" s="114" t="str">
        <f>IF(NOT(ISBLANK(Audit[[#This Row],[Audit Candidate 8]])), Audit[[#This Row],[Audit Candidate 8]]-Audit[[#This Row],[Candidate 8]], "")</f>
        <v/>
      </c>
      <c r="AM186" s="114" t="str">
        <f>IF(NOT(ISBLANK(Audit[[#This Row],[Audit Candidate 9]])), Audit[[#This Row],[Audit Candidate 9]]-Audit[[#This Row],[Candidate 9]], "")</f>
        <v/>
      </c>
      <c r="AN186" s="114" t="str">
        <f>IF(NOT(ISBLANK(Audit[[#This Row],[Audit Candidate 10]])), Audit[[#This Row],[Audit Candidate 10]]-Audit[[#This Row],[Candidate 10]], "")</f>
        <v/>
      </c>
      <c r="AO186" s="114" t="str">
        <f>IF(NOT(ISBLANK(Audit[[#This Row],[Audit Candidate 11]])), Audit[[#This Row],[Audit Candidate 11]]-Audit[[#This Row],[Candidate 11]], "")</f>
        <v/>
      </c>
      <c r="AP186" s="114" t="str">
        <f>IF(NOT(ISBLANK(Audit[[#This Row],[Audit Candidate 12]])), Audit[[#This Row],[Audit Candidate 12]]-Audit[[#This Row],[Candidate 12]], "")</f>
        <v/>
      </c>
      <c r="AQ186" s="114">
        <f>SUMIF(Audit[[#This Row],[Difference Winner]:[Difference Candidate 12]], "&gt;0")</f>
        <v>0</v>
      </c>
      <c r="AR186" s="114">
        <f>SUM(Audit[[#This Row],[Difference Winner]:[Difference Candidate 12]])</f>
        <v>0</v>
      </c>
      <c r="AS186" s="114">
        <f>IF(Audit[[#This Row],[Times p Drawn - With Replacement]]&gt;0, IF(Audit[[#This Row],[Canceled Differences]]&lt;0, Audit[[#This Row],[Max Differences]]+ABS(Audit[[#This Row],[Canceled Differences]]), Audit[[#This Row],[Max Differences]]), 0)</f>
        <v>0</v>
      </c>
      <c r="AT186" s="114">
        <f>'Sampling Data'!AB186</f>
        <v>1.1289230074508919E-3</v>
      </c>
      <c r="AU186" s="114">
        <f>IF(
      SUM(Audit[[#This Row],[Audit Losing Candidate]:[Audit Candidate 12]])
      &lt;&gt;0,
      (Audit[[#This Row],[Winning Candidate]]-Audit[[#This Row],[Losing Candidate]]-(Audit[[#This Row],[Audit Winning Candidate]]-Audit[[#This Row],[Audit Losing Candidate]]))/(Audit[[#Totals],[Winning Candidate]]-Audit[[#Totals],[Losing Candidate]]),
      0
)</f>
        <v>0</v>
      </c>
      <c r="AV1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6" s="114">
        <f>IF(Audit[[#This Row],[Max Relative Error (ep)]] = 0, 0, Audit[[#This Row],[Max Relative Error (ep)]]/Audit[[#This Row],[Error Bound (up) - Max. possible relative overstatement]])</f>
        <v>0</v>
      </c>
      <c r="BH1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6" s="114">
        <f t="shared" si="3"/>
        <v>1</v>
      </c>
      <c r="BJ186" s="114">
        <f>PRODUCT($BI$5:BI186)</f>
        <v>0.20973752198051165</v>
      </c>
      <c r="BK186" s="112">
        <f>1 - Audit[[#This Row],[K-M P Value]]</f>
        <v>0.79026247801948835</v>
      </c>
      <c r="BL186" s="114" t="str">
        <f>IF(Audit[[#This Row],[K-M P Value]]&gt;1-'General Info'!$B$12,"Continue", "Stop")</f>
        <v>Continue</v>
      </c>
      <c r="BM186" s="113" t="b">
        <f>IF(Audit[[#This Row],[Status - Continue or stop audit]] = "Continue", TRUE, IF(BL185 = "Continue", TRUE, FALSE))</f>
        <v>1</v>
      </c>
      <c r="BN186" s="113"/>
    </row>
    <row r="187" spans="1:66" ht="15" hidden="1" customHeight="1" x14ac:dyDescent="0.35">
      <c r="A187" s="114" t="str">
        <f>'Sampling Data'!AI187</f>
        <v/>
      </c>
      <c r="B187" s="114" t="str">
        <f>'Sampling Data'!A187</f>
        <v>2612 CIN 26-L   (AV)</v>
      </c>
      <c r="C187" s="114">
        <f>'Sampling Data'!B187</f>
        <v>6</v>
      </c>
      <c r="D187" s="114">
        <f>'Sampling Data'!C187</f>
        <v>2</v>
      </c>
      <c r="E187" s="115">
        <f>'Sampling Data'!D187</f>
        <v>0</v>
      </c>
      <c r="F187" s="115">
        <f>'Sampling Data'!E187</f>
        <v>0</v>
      </c>
      <c r="G187" s="115">
        <f>'Sampling Data'!F187</f>
        <v>0</v>
      </c>
      <c r="H187" s="115">
        <f>'Sampling Data'!G187</f>
        <v>0</v>
      </c>
      <c r="I187" s="115">
        <f>'Sampling Data'!H187</f>
        <v>0</v>
      </c>
      <c r="J187" s="115">
        <f>'Sampling Data'!I187</f>
        <v>0</v>
      </c>
      <c r="K187" s="115">
        <f>'Sampling Data'!J187</f>
        <v>0</v>
      </c>
      <c r="L187" s="115">
        <f>'Sampling Data'!K187</f>
        <v>0</v>
      </c>
      <c r="M187" s="115">
        <f>'Sampling Data'!L187</f>
        <v>0</v>
      </c>
      <c r="N187" s="115">
        <f>'Sampling Data'!M187</f>
        <v>0</v>
      </c>
      <c r="O187" s="114">
        <f>'Sampling Data'!N187</f>
        <v>0</v>
      </c>
      <c r="P187" s="114">
        <f>'Sampling Data'!O187</f>
        <v>0</v>
      </c>
      <c r="Q187" s="114">
        <f>'Sampling Data'!P187</f>
        <v>8</v>
      </c>
      <c r="R187" s="114">
        <f>'Sampling Data'!AJ187</f>
        <v>0</v>
      </c>
      <c r="S187" s="116"/>
      <c r="T187" s="116"/>
      <c r="U187" s="117"/>
      <c r="V187" s="117"/>
      <c r="W187" s="116"/>
      <c r="X187" s="116"/>
      <c r="Y187" s="116"/>
      <c r="Z187" s="116"/>
      <c r="AA187" s="15"/>
      <c r="AB187" s="15"/>
      <c r="AC187" s="15"/>
      <c r="AD187" s="15"/>
      <c r="AE187" s="118" t="str">
        <f>IF(NOT(ISBLANK(Audit[[#This Row],[Audit Winning Candidate]])), Audit[[#This Row],[Audit Winning Candidate]]-Audit[[#This Row],[Winning Candidate]], "")</f>
        <v/>
      </c>
      <c r="AF187" s="114" t="str">
        <f>IF(NOT(ISBLANK(Audit[[#This Row],[Audit Losing Candidate]])), Audit[[#This Row],[Audit Losing Candidate]]-Audit[[#This Row],[Losing Candidate]], "")</f>
        <v/>
      </c>
      <c r="AG187" s="114" t="str">
        <f>IF(NOT(ISBLANK(Audit[[#This Row],[Audit Candidate 3]])), Audit[[#This Row],[Audit Candidate 3]]-Audit[[#This Row],[Candidate 3]], "")</f>
        <v/>
      </c>
      <c r="AH187" s="114" t="str">
        <f>IF(NOT(ISBLANK(Audit[[#This Row],[Audit Candidate 4]])),Audit[[#This Row],[Audit Candidate 4]]-Audit[[#This Row],[Candidate 4]], "")</f>
        <v/>
      </c>
      <c r="AI187" s="114" t="str">
        <f>IF(NOT(ISBLANK(Audit[[#This Row],[Audit Candidate 5]])), Audit[[#This Row],[Audit Candidate 5]]-Audit[[#This Row],[Candidate 5]], "")</f>
        <v/>
      </c>
      <c r="AJ187" s="114" t="str">
        <f>IF(NOT(ISBLANK(Audit[[#This Row],[Audit Candidate 6]])), Audit[[#This Row],[Audit Candidate 6]]-Audit[[#This Row],[Candidate 6]], "")</f>
        <v/>
      </c>
      <c r="AK187" s="114" t="str">
        <f>IF(NOT(ISBLANK(Audit[[#This Row],[Audit Candidate 7]])), Audit[[#This Row],[Audit Candidate 7]]-Audit[[#This Row],[Candidate 7]], "")</f>
        <v/>
      </c>
      <c r="AL187" s="114" t="str">
        <f>IF(NOT(ISBLANK(Audit[[#This Row],[Audit Candidate 8]])), Audit[[#This Row],[Audit Candidate 8]]-Audit[[#This Row],[Candidate 8]], "")</f>
        <v/>
      </c>
      <c r="AM187" s="114" t="str">
        <f>IF(NOT(ISBLANK(Audit[[#This Row],[Audit Candidate 9]])), Audit[[#This Row],[Audit Candidate 9]]-Audit[[#This Row],[Candidate 9]], "")</f>
        <v/>
      </c>
      <c r="AN187" s="114" t="str">
        <f>IF(NOT(ISBLANK(Audit[[#This Row],[Audit Candidate 10]])), Audit[[#This Row],[Audit Candidate 10]]-Audit[[#This Row],[Candidate 10]], "")</f>
        <v/>
      </c>
      <c r="AO187" s="114" t="str">
        <f>IF(NOT(ISBLANK(Audit[[#This Row],[Audit Candidate 11]])), Audit[[#This Row],[Audit Candidate 11]]-Audit[[#This Row],[Candidate 11]], "")</f>
        <v/>
      </c>
      <c r="AP187" s="114" t="str">
        <f>IF(NOT(ISBLANK(Audit[[#This Row],[Audit Candidate 12]])), Audit[[#This Row],[Audit Candidate 12]]-Audit[[#This Row],[Candidate 12]], "")</f>
        <v/>
      </c>
      <c r="AQ187" s="114">
        <f>SUMIF(Audit[[#This Row],[Difference Winner]:[Difference Candidate 12]], "&gt;0")</f>
        <v>0</v>
      </c>
      <c r="AR187" s="114">
        <f>SUM(Audit[[#This Row],[Difference Winner]:[Difference Candidate 12]])</f>
        <v>0</v>
      </c>
      <c r="AS187" s="114">
        <f>IF(Audit[[#This Row],[Times p Drawn - With Replacement]]&gt;0, IF(Audit[[#This Row],[Canceled Differences]]&lt;0, Audit[[#This Row],[Max Differences]]+ABS(Audit[[#This Row],[Canceled Differences]]), Audit[[#This Row],[Max Differences]]), 0)</f>
        <v>0</v>
      </c>
      <c r="AT187" s="114">
        <f>'Sampling Data'!AB187</f>
        <v>7.9024610521562428E-4</v>
      </c>
      <c r="AU187" s="114">
        <f>IF(
      SUM(Audit[[#This Row],[Audit Losing Candidate]:[Audit Candidate 12]])
      &lt;&gt;0,
      (Audit[[#This Row],[Winning Candidate]]-Audit[[#This Row],[Losing Candidate]]-(Audit[[#This Row],[Audit Winning Candidate]]-Audit[[#This Row],[Audit Losing Candidate]]))/(Audit[[#Totals],[Winning Candidate]]-Audit[[#Totals],[Losing Candidate]]),
      0
)</f>
        <v>0</v>
      </c>
      <c r="AV1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7" s="114">
        <f>IF(Audit[[#This Row],[Max Relative Error (ep)]] = 0, 0, Audit[[#This Row],[Max Relative Error (ep)]]/Audit[[#This Row],[Error Bound (up) - Max. possible relative overstatement]])</f>
        <v>0</v>
      </c>
      <c r="BH1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7" s="114">
        <f t="shared" si="3"/>
        <v>1</v>
      </c>
      <c r="BJ187" s="114">
        <f>PRODUCT($BI$5:BI187)</f>
        <v>0.20973752198051165</v>
      </c>
      <c r="BK187" s="112">
        <f>1 - Audit[[#This Row],[K-M P Value]]</f>
        <v>0.79026247801948835</v>
      </c>
      <c r="BL187" s="114" t="str">
        <f>IF(Audit[[#This Row],[K-M P Value]]&gt;1-'General Info'!$B$12,"Continue", "Stop")</f>
        <v>Continue</v>
      </c>
      <c r="BM187" s="113" t="b">
        <f>IF(Audit[[#This Row],[Status - Continue or stop audit]] = "Continue", TRUE, IF(BL186 = "Continue", TRUE, FALSE))</f>
        <v>1</v>
      </c>
      <c r="BN187" s="113"/>
    </row>
    <row r="188" spans="1:66" ht="15" hidden="1" customHeight="1" x14ac:dyDescent="0.35">
      <c r="A188" s="114" t="str">
        <f>'Sampling Data'!AI188</f>
        <v/>
      </c>
      <c r="B188" s="114" t="str">
        <f>'Sampling Data'!A188</f>
        <v>2613 CIN 26-M   (AV)</v>
      </c>
      <c r="C188" s="114">
        <f>'Sampling Data'!B188</f>
        <v>0</v>
      </c>
      <c r="D188" s="114">
        <f>'Sampling Data'!C188</f>
        <v>0</v>
      </c>
      <c r="E188" s="115">
        <f>'Sampling Data'!D188</f>
        <v>0</v>
      </c>
      <c r="F188" s="115">
        <f>'Sampling Data'!E188</f>
        <v>0</v>
      </c>
      <c r="G188" s="115">
        <f>'Sampling Data'!F188</f>
        <v>0</v>
      </c>
      <c r="H188" s="115">
        <f>'Sampling Data'!G188</f>
        <v>0</v>
      </c>
      <c r="I188" s="115">
        <f>'Sampling Data'!H188</f>
        <v>0</v>
      </c>
      <c r="J188" s="115">
        <f>'Sampling Data'!I188</f>
        <v>0</v>
      </c>
      <c r="K188" s="115">
        <f>'Sampling Data'!J188</f>
        <v>0</v>
      </c>
      <c r="L188" s="115">
        <f>'Sampling Data'!K188</f>
        <v>0</v>
      </c>
      <c r="M188" s="115">
        <f>'Sampling Data'!L188</f>
        <v>0</v>
      </c>
      <c r="N188" s="115">
        <f>'Sampling Data'!M188</f>
        <v>0</v>
      </c>
      <c r="O188" s="114">
        <f>'Sampling Data'!N188</f>
        <v>0</v>
      </c>
      <c r="P188" s="114">
        <f>'Sampling Data'!O188</f>
        <v>0</v>
      </c>
      <c r="Q188" s="114">
        <f>'Sampling Data'!P188</f>
        <v>0</v>
      </c>
      <c r="R188" s="114">
        <f>'Sampling Data'!AJ188</f>
        <v>0</v>
      </c>
      <c r="S188" s="116"/>
      <c r="T188" s="116"/>
      <c r="U188" s="117"/>
      <c r="V188" s="117"/>
      <c r="W188" s="116"/>
      <c r="X188" s="116"/>
      <c r="Y188" s="116"/>
      <c r="Z188" s="116"/>
      <c r="AA188" s="15"/>
      <c r="AB188" s="15"/>
      <c r="AC188" s="15"/>
      <c r="AD188" s="15"/>
      <c r="AE188" s="118" t="str">
        <f>IF(NOT(ISBLANK(Audit[[#This Row],[Audit Winning Candidate]])), Audit[[#This Row],[Audit Winning Candidate]]-Audit[[#This Row],[Winning Candidate]], "")</f>
        <v/>
      </c>
      <c r="AF188" s="114" t="str">
        <f>IF(NOT(ISBLANK(Audit[[#This Row],[Audit Losing Candidate]])), Audit[[#This Row],[Audit Losing Candidate]]-Audit[[#This Row],[Losing Candidate]], "")</f>
        <v/>
      </c>
      <c r="AG188" s="114" t="str">
        <f>IF(NOT(ISBLANK(Audit[[#This Row],[Audit Candidate 3]])), Audit[[#This Row],[Audit Candidate 3]]-Audit[[#This Row],[Candidate 3]], "")</f>
        <v/>
      </c>
      <c r="AH188" s="114" t="str">
        <f>IF(NOT(ISBLANK(Audit[[#This Row],[Audit Candidate 4]])),Audit[[#This Row],[Audit Candidate 4]]-Audit[[#This Row],[Candidate 4]], "")</f>
        <v/>
      </c>
      <c r="AI188" s="114" t="str">
        <f>IF(NOT(ISBLANK(Audit[[#This Row],[Audit Candidate 5]])), Audit[[#This Row],[Audit Candidate 5]]-Audit[[#This Row],[Candidate 5]], "")</f>
        <v/>
      </c>
      <c r="AJ188" s="114" t="str">
        <f>IF(NOT(ISBLANK(Audit[[#This Row],[Audit Candidate 6]])), Audit[[#This Row],[Audit Candidate 6]]-Audit[[#This Row],[Candidate 6]], "")</f>
        <v/>
      </c>
      <c r="AK188" s="114" t="str">
        <f>IF(NOT(ISBLANK(Audit[[#This Row],[Audit Candidate 7]])), Audit[[#This Row],[Audit Candidate 7]]-Audit[[#This Row],[Candidate 7]], "")</f>
        <v/>
      </c>
      <c r="AL188" s="114" t="str">
        <f>IF(NOT(ISBLANK(Audit[[#This Row],[Audit Candidate 8]])), Audit[[#This Row],[Audit Candidate 8]]-Audit[[#This Row],[Candidate 8]], "")</f>
        <v/>
      </c>
      <c r="AM188" s="114" t="str">
        <f>IF(NOT(ISBLANK(Audit[[#This Row],[Audit Candidate 9]])), Audit[[#This Row],[Audit Candidate 9]]-Audit[[#This Row],[Candidate 9]], "")</f>
        <v/>
      </c>
      <c r="AN188" s="114" t="str">
        <f>IF(NOT(ISBLANK(Audit[[#This Row],[Audit Candidate 10]])), Audit[[#This Row],[Audit Candidate 10]]-Audit[[#This Row],[Candidate 10]], "")</f>
        <v/>
      </c>
      <c r="AO188" s="114" t="str">
        <f>IF(NOT(ISBLANK(Audit[[#This Row],[Audit Candidate 11]])), Audit[[#This Row],[Audit Candidate 11]]-Audit[[#This Row],[Candidate 11]], "")</f>
        <v/>
      </c>
      <c r="AP188" s="114" t="str">
        <f>IF(NOT(ISBLANK(Audit[[#This Row],[Audit Candidate 12]])), Audit[[#This Row],[Audit Candidate 12]]-Audit[[#This Row],[Candidate 12]], "")</f>
        <v/>
      </c>
      <c r="AQ188" s="114">
        <f>SUMIF(Audit[[#This Row],[Difference Winner]:[Difference Candidate 12]], "&gt;0")</f>
        <v>0</v>
      </c>
      <c r="AR188" s="114">
        <f>SUM(Audit[[#This Row],[Difference Winner]:[Difference Candidate 12]])</f>
        <v>0</v>
      </c>
      <c r="AS188" s="114">
        <f>IF(Audit[[#This Row],[Times p Drawn - With Replacement]]&gt;0, IF(Audit[[#This Row],[Canceled Differences]]&lt;0, Audit[[#This Row],[Max Differences]]+ABS(Audit[[#This Row],[Canceled Differences]]), Audit[[#This Row],[Max Differences]]), 0)</f>
        <v>0</v>
      </c>
      <c r="AT188" s="114">
        <f>'Sampling Data'!AB188</f>
        <v>0</v>
      </c>
      <c r="AU188" s="114">
        <f>IF(
      SUM(Audit[[#This Row],[Audit Losing Candidate]:[Audit Candidate 12]])
      &lt;&gt;0,
      (Audit[[#This Row],[Winning Candidate]]-Audit[[#This Row],[Losing Candidate]]-(Audit[[#This Row],[Audit Winning Candidate]]-Audit[[#This Row],[Audit Losing Candidate]]))/(Audit[[#Totals],[Winning Candidate]]-Audit[[#Totals],[Losing Candidate]]),
      0
)</f>
        <v>0</v>
      </c>
      <c r="AV1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8" s="114">
        <f>IF(Audit[[#This Row],[Max Relative Error (ep)]] = 0, 0, Audit[[#This Row],[Max Relative Error (ep)]]/Audit[[#This Row],[Error Bound (up) - Max. possible relative overstatement]])</f>
        <v>0</v>
      </c>
      <c r="BH1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8" s="114">
        <f t="shared" si="3"/>
        <v>1</v>
      </c>
      <c r="BJ188" s="114">
        <f>PRODUCT($BI$5:BI188)</f>
        <v>0.20973752198051165</v>
      </c>
      <c r="BK188" s="112">
        <f>1 - Audit[[#This Row],[K-M P Value]]</f>
        <v>0.79026247801948835</v>
      </c>
      <c r="BL188" s="114" t="str">
        <f>IF(Audit[[#This Row],[K-M P Value]]&gt;1-'General Info'!$B$12,"Continue", "Stop")</f>
        <v>Continue</v>
      </c>
      <c r="BM188" s="113" t="b">
        <f>IF(Audit[[#This Row],[Status - Continue or stop audit]] = "Continue", TRUE, IF(BL187 = "Continue", TRUE, FALSE))</f>
        <v>1</v>
      </c>
      <c r="BN188" s="113"/>
    </row>
    <row r="189" spans="1:66" ht="15" hidden="1" customHeight="1" x14ac:dyDescent="0.35">
      <c r="A189" s="114" t="str">
        <f>'Sampling Data'!AI189</f>
        <v/>
      </c>
      <c r="B189" s="114" t="str">
        <f>'Sampling Data'!A189</f>
        <v>2614 CIN 26-N   (AV)</v>
      </c>
      <c r="C189" s="114">
        <f>'Sampling Data'!B189</f>
        <v>4</v>
      </c>
      <c r="D189" s="114">
        <f>'Sampling Data'!C189</f>
        <v>6</v>
      </c>
      <c r="E189" s="115">
        <f>'Sampling Data'!D189</f>
        <v>0</v>
      </c>
      <c r="F189" s="115">
        <f>'Sampling Data'!E189</f>
        <v>0</v>
      </c>
      <c r="G189" s="115">
        <f>'Sampling Data'!F189</f>
        <v>0</v>
      </c>
      <c r="H189" s="115">
        <f>'Sampling Data'!G189</f>
        <v>0</v>
      </c>
      <c r="I189" s="115">
        <f>'Sampling Data'!H189</f>
        <v>0</v>
      </c>
      <c r="J189" s="115">
        <f>'Sampling Data'!I189</f>
        <v>0</v>
      </c>
      <c r="K189" s="115">
        <f>'Sampling Data'!J189</f>
        <v>0</v>
      </c>
      <c r="L189" s="115">
        <f>'Sampling Data'!K189</f>
        <v>0</v>
      </c>
      <c r="M189" s="115">
        <f>'Sampling Data'!L189</f>
        <v>0</v>
      </c>
      <c r="N189" s="115">
        <f>'Sampling Data'!M189</f>
        <v>0</v>
      </c>
      <c r="O189" s="114">
        <f>'Sampling Data'!N189</f>
        <v>0</v>
      </c>
      <c r="P189" s="114">
        <f>'Sampling Data'!O189</f>
        <v>0</v>
      </c>
      <c r="Q189" s="114">
        <f>'Sampling Data'!P189</f>
        <v>10</v>
      </c>
      <c r="R189" s="114">
        <f>'Sampling Data'!AJ189</f>
        <v>0</v>
      </c>
      <c r="S189" s="116"/>
      <c r="T189" s="116"/>
      <c r="U189" s="117"/>
      <c r="V189" s="117"/>
      <c r="W189" s="116"/>
      <c r="X189" s="116"/>
      <c r="Y189" s="116"/>
      <c r="Z189" s="116"/>
      <c r="AA189" s="15"/>
      <c r="AB189" s="15"/>
      <c r="AC189" s="15"/>
      <c r="AD189" s="15"/>
      <c r="AE189" s="118" t="str">
        <f>IF(NOT(ISBLANK(Audit[[#This Row],[Audit Winning Candidate]])), Audit[[#This Row],[Audit Winning Candidate]]-Audit[[#This Row],[Winning Candidate]], "")</f>
        <v/>
      </c>
      <c r="AF189" s="114" t="str">
        <f>IF(NOT(ISBLANK(Audit[[#This Row],[Audit Losing Candidate]])), Audit[[#This Row],[Audit Losing Candidate]]-Audit[[#This Row],[Losing Candidate]], "")</f>
        <v/>
      </c>
      <c r="AG189" s="114" t="str">
        <f>IF(NOT(ISBLANK(Audit[[#This Row],[Audit Candidate 3]])), Audit[[#This Row],[Audit Candidate 3]]-Audit[[#This Row],[Candidate 3]], "")</f>
        <v/>
      </c>
      <c r="AH189" s="114" t="str">
        <f>IF(NOT(ISBLANK(Audit[[#This Row],[Audit Candidate 4]])),Audit[[#This Row],[Audit Candidate 4]]-Audit[[#This Row],[Candidate 4]], "")</f>
        <v/>
      </c>
      <c r="AI189" s="114" t="str">
        <f>IF(NOT(ISBLANK(Audit[[#This Row],[Audit Candidate 5]])), Audit[[#This Row],[Audit Candidate 5]]-Audit[[#This Row],[Candidate 5]], "")</f>
        <v/>
      </c>
      <c r="AJ189" s="114" t="str">
        <f>IF(NOT(ISBLANK(Audit[[#This Row],[Audit Candidate 6]])), Audit[[#This Row],[Audit Candidate 6]]-Audit[[#This Row],[Candidate 6]], "")</f>
        <v/>
      </c>
      <c r="AK189" s="114" t="str">
        <f>IF(NOT(ISBLANK(Audit[[#This Row],[Audit Candidate 7]])), Audit[[#This Row],[Audit Candidate 7]]-Audit[[#This Row],[Candidate 7]], "")</f>
        <v/>
      </c>
      <c r="AL189" s="114" t="str">
        <f>IF(NOT(ISBLANK(Audit[[#This Row],[Audit Candidate 8]])), Audit[[#This Row],[Audit Candidate 8]]-Audit[[#This Row],[Candidate 8]], "")</f>
        <v/>
      </c>
      <c r="AM189" s="114" t="str">
        <f>IF(NOT(ISBLANK(Audit[[#This Row],[Audit Candidate 9]])), Audit[[#This Row],[Audit Candidate 9]]-Audit[[#This Row],[Candidate 9]], "")</f>
        <v/>
      </c>
      <c r="AN189" s="114" t="str">
        <f>IF(NOT(ISBLANK(Audit[[#This Row],[Audit Candidate 10]])), Audit[[#This Row],[Audit Candidate 10]]-Audit[[#This Row],[Candidate 10]], "")</f>
        <v/>
      </c>
      <c r="AO189" s="114" t="str">
        <f>IF(NOT(ISBLANK(Audit[[#This Row],[Audit Candidate 11]])), Audit[[#This Row],[Audit Candidate 11]]-Audit[[#This Row],[Candidate 11]], "")</f>
        <v/>
      </c>
      <c r="AP189" s="114" t="str">
        <f>IF(NOT(ISBLANK(Audit[[#This Row],[Audit Candidate 12]])), Audit[[#This Row],[Audit Candidate 12]]-Audit[[#This Row],[Candidate 12]], "")</f>
        <v/>
      </c>
      <c r="AQ189" s="114">
        <f>SUMIF(Audit[[#This Row],[Difference Winner]:[Difference Candidate 12]], "&gt;0")</f>
        <v>0</v>
      </c>
      <c r="AR189" s="114">
        <f>SUM(Audit[[#This Row],[Difference Winner]:[Difference Candidate 12]])</f>
        <v>0</v>
      </c>
      <c r="AS189" s="114">
        <f>IF(Audit[[#This Row],[Times p Drawn - With Replacement]]&gt;0, IF(Audit[[#This Row],[Canceled Differences]]&lt;0, Audit[[#This Row],[Max Differences]]+ABS(Audit[[#This Row],[Canceled Differences]]), Audit[[#This Row],[Max Differences]]), 0)</f>
        <v>0</v>
      </c>
      <c r="AT189" s="114">
        <f>'Sampling Data'!AB189</f>
        <v>7.9024610521562428E-4</v>
      </c>
      <c r="AU189" s="114">
        <f>IF(
      SUM(Audit[[#This Row],[Audit Losing Candidate]:[Audit Candidate 12]])
      &lt;&gt;0,
      (Audit[[#This Row],[Winning Candidate]]-Audit[[#This Row],[Losing Candidate]]-(Audit[[#This Row],[Audit Winning Candidate]]-Audit[[#This Row],[Audit Losing Candidate]]))/(Audit[[#Totals],[Winning Candidate]]-Audit[[#Totals],[Losing Candidate]]),
      0
)</f>
        <v>0</v>
      </c>
      <c r="AV1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9" s="114">
        <f>IF(Audit[[#This Row],[Max Relative Error (ep)]] = 0, 0, Audit[[#This Row],[Max Relative Error (ep)]]/Audit[[#This Row],[Error Bound (up) - Max. possible relative overstatement]])</f>
        <v>0</v>
      </c>
      <c r="BH1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89" s="114">
        <f t="shared" si="3"/>
        <v>1</v>
      </c>
      <c r="BJ189" s="114">
        <f>PRODUCT($BI$5:BI189)</f>
        <v>0.20973752198051165</v>
      </c>
      <c r="BK189" s="112">
        <f>1 - Audit[[#This Row],[K-M P Value]]</f>
        <v>0.79026247801948835</v>
      </c>
      <c r="BL189" s="114" t="str">
        <f>IF(Audit[[#This Row],[K-M P Value]]&gt;1-'General Info'!$B$12,"Continue", "Stop")</f>
        <v>Continue</v>
      </c>
      <c r="BM189" s="113" t="b">
        <f>IF(Audit[[#This Row],[Status - Continue or stop audit]] = "Continue", TRUE, IF(BL188 = "Continue", TRUE, FALSE))</f>
        <v>1</v>
      </c>
      <c r="BN189" s="113"/>
    </row>
    <row r="190" spans="1:66" ht="15" hidden="1" customHeight="1" x14ac:dyDescent="0.35">
      <c r="A190" s="114" t="str">
        <f>'Sampling Data'!AI190</f>
        <v/>
      </c>
      <c r="B190" s="114" t="str">
        <f>'Sampling Data'!A190</f>
        <v>2615 CIN 26-O   (AV)</v>
      </c>
      <c r="C190" s="114">
        <f>'Sampling Data'!B190</f>
        <v>10</v>
      </c>
      <c r="D190" s="114">
        <f>'Sampling Data'!C190</f>
        <v>5</v>
      </c>
      <c r="E190" s="115">
        <f>'Sampling Data'!D190</f>
        <v>0</v>
      </c>
      <c r="F190" s="115">
        <f>'Sampling Data'!E190</f>
        <v>0</v>
      </c>
      <c r="G190" s="115">
        <f>'Sampling Data'!F190</f>
        <v>0</v>
      </c>
      <c r="H190" s="115">
        <f>'Sampling Data'!G190</f>
        <v>0</v>
      </c>
      <c r="I190" s="115">
        <f>'Sampling Data'!H190</f>
        <v>0</v>
      </c>
      <c r="J190" s="115">
        <f>'Sampling Data'!I190</f>
        <v>0</v>
      </c>
      <c r="K190" s="115">
        <f>'Sampling Data'!J190</f>
        <v>0</v>
      </c>
      <c r="L190" s="115">
        <f>'Sampling Data'!K190</f>
        <v>0</v>
      </c>
      <c r="M190" s="115">
        <f>'Sampling Data'!L190</f>
        <v>0</v>
      </c>
      <c r="N190" s="115">
        <f>'Sampling Data'!M190</f>
        <v>0</v>
      </c>
      <c r="O190" s="114">
        <f>'Sampling Data'!N190</f>
        <v>0</v>
      </c>
      <c r="P190" s="114">
        <f>'Sampling Data'!O190</f>
        <v>0</v>
      </c>
      <c r="Q190" s="114">
        <f>'Sampling Data'!P190</f>
        <v>15</v>
      </c>
      <c r="R190" s="114">
        <f>'Sampling Data'!AJ190</f>
        <v>0</v>
      </c>
      <c r="S190" s="116"/>
      <c r="T190" s="116"/>
      <c r="U190" s="117"/>
      <c r="V190" s="117"/>
      <c r="W190" s="116"/>
      <c r="X190" s="116"/>
      <c r="Y190" s="116"/>
      <c r="Z190" s="116"/>
      <c r="AA190" s="15"/>
      <c r="AB190" s="15"/>
      <c r="AC190" s="15"/>
      <c r="AD190" s="15"/>
      <c r="AE190" s="118" t="str">
        <f>IF(NOT(ISBLANK(Audit[[#This Row],[Audit Winning Candidate]])), Audit[[#This Row],[Audit Winning Candidate]]-Audit[[#This Row],[Winning Candidate]], "")</f>
        <v/>
      </c>
      <c r="AF190" s="114" t="str">
        <f>IF(NOT(ISBLANK(Audit[[#This Row],[Audit Losing Candidate]])), Audit[[#This Row],[Audit Losing Candidate]]-Audit[[#This Row],[Losing Candidate]], "")</f>
        <v/>
      </c>
      <c r="AG190" s="114" t="str">
        <f>IF(NOT(ISBLANK(Audit[[#This Row],[Audit Candidate 3]])), Audit[[#This Row],[Audit Candidate 3]]-Audit[[#This Row],[Candidate 3]], "")</f>
        <v/>
      </c>
      <c r="AH190" s="114" t="str">
        <f>IF(NOT(ISBLANK(Audit[[#This Row],[Audit Candidate 4]])),Audit[[#This Row],[Audit Candidate 4]]-Audit[[#This Row],[Candidate 4]], "")</f>
        <v/>
      </c>
      <c r="AI190" s="114" t="str">
        <f>IF(NOT(ISBLANK(Audit[[#This Row],[Audit Candidate 5]])), Audit[[#This Row],[Audit Candidate 5]]-Audit[[#This Row],[Candidate 5]], "")</f>
        <v/>
      </c>
      <c r="AJ190" s="114" t="str">
        <f>IF(NOT(ISBLANK(Audit[[#This Row],[Audit Candidate 6]])), Audit[[#This Row],[Audit Candidate 6]]-Audit[[#This Row],[Candidate 6]], "")</f>
        <v/>
      </c>
      <c r="AK190" s="114" t="str">
        <f>IF(NOT(ISBLANK(Audit[[#This Row],[Audit Candidate 7]])), Audit[[#This Row],[Audit Candidate 7]]-Audit[[#This Row],[Candidate 7]], "")</f>
        <v/>
      </c>
      <c r="AL190" s="114" t="str">
        <f>IF(NOT(ISBLANK(Audit[[#This Row],[Audit Candidate 8]])), Audit[[#This Row],[Audit Candidate 8]]-Audit[[#This Row],[Candidate 8]], "")</f>
        <v/>
      </c>
      <c r="AM190" s="114" t="str">
        <f>IF(NOT(ISBLANK(Audit[[#This Row],[Audit Candidate 9]])), Audit[[#This Row],[Audit Candidate 9]]-Audit[[#This Row],[Candidate 9]], "")</f>
        <v/>
      </c>
      <c r="AN190" s="114" t="str">
        <f>IF(NOT(ISBLANK(Audit[[#This Row],[Audit Candidate 10]])), Audit[[#This Row],[Audit Candidate 10]]-Audit[[#This Row],[Candidate 10]], "")</f>
        <v/>
      </c>
      <c r="AO190" s="114" t="str">
        <f>IF(NOT(ISBLANK(Audit[[#This Row],[Audit Candidate 11]])), Audit[[#This Row],[Audit Candidate 11]]-Audit[[#This Row],[Candidate 11]], "")</f>
        <v/>
      </c>
      <c r="AP190" s="114" t="str">
        <f>IF(NOT(ISBLANK(Audit[[#This Row],[Audit Candidate 12]])), Audit[[#This Row],[Audit Candidate 12]]-Audit[[#This Row],[Candidate 12]], "")</f>
        <v/>
      </c>
      <c r="AQ190" s="114">
        <f>SUMIF(Audit[[#This Row],[Difference Winner]:[Difference Candidate 12]], "&gt;0")</f>
        <v>0</v>
      </c>
      <c r="AR190" s="114">
        <f>SUM(Audit[[#This Row],[Difference Winner]:[Difference Candidate 12]])</f>
        <v>0</v>
      </c>
      <c r="AS190" s="114">
        <f>IF(Audit[[#This Row],[Times p Drawn - With Replacement]]&gt;0, IF(Audit[[#This Row],[Canceled Differences]]&lt;0, Audit[[#This Row],[Max Differences]]+ABS(Audit[[#This Row],[Canceled Differences]]), Audit[[#This Row],[Max Differences]]), 0)</f>
        <v>0</v>
      </c>
      <c r="AT190" s="114">
        <f>'Sampling Data'!AB190</f>
        <v>1.4111537593136149E-3</v>
      </c>
      <c r="AU190" s="114">
        <f>IF(
      SUM(Audit[[#This Row],[Audit Losing Candidate]:[Audit Candidate 12]])
      &lt;&gt;0,
      (Audit[[#This Row],[Winning Candidate]]-Audit[[#This Row],[Losing Candidate]]-(Audit[[#This Row],[Audit Winning Candidate]]-Audit[[#This Row],[Audit Losing Candidate]]))/(Audit[[#Totals],[Winning Candidate]]-Audit[[#Totals],[Losing Candidate]]),
      0
)</f>
        <v>0</v>
      </c>
      <c r="AV1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0" s="114">
        <f>IF(Audit[[#This Row],[Max Relative Error (ep)]] = 0, 0, Audit[[#This Row],[Max Relative Error (ep)]]/Audit[[#This Row],[Error Bound (up) - Max. possible relative overstatement]])</f>
        <v>0</v>
      </c>
      <c r="BH1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0" s="114">
        <f t="shared" si="3"/>
        <v>1</v>
      </c>
      <c r="BJ190" s="114">
        <f>PRODUCT($BI$5:BI190)</f>
        <v>0.20973752198051165</v>
      </c>
      <c r="BK190" s="112">
        <f>1 - Audit[[#This Row],[K-M P Value]]</f>
        <v>0.79026247801948835</v>
      </c>
      <c r="BL190" s="114" t="str">
        <f>IF(Audit[[#This Row],[K-M P Value]]&gt;1-'General Info'!$B$12,"Continue", "Stop")</f>
        <v>Continue</v>
      </c>
      <c r="BM190" s="113" t="b">
        <f>IF(Audit[[#This Row],[Status - Continue or stop audit]] = "Continue", TRUE, IF(BL189 = "Continue", TRUE, FALSE))</f>
        <v>1</v>
      </c>
      <c r="BN190" s="113"/>
    </row>
    <row r="191" spans="1:66" ht="15" hidden="1" customHeight="1" x14ac:dyDescent="0.35">
      <c r="A191" s="114" t="str">
        <f>'Sampling Data'!AI191</f>
        <v/>
      </c>
      <c r="B191" s="114" t="str">
        <f>'Sampling Data'!A191</f>
        <v>2616 CIN 26-P   (AV)</v>
      </c>
      <c r="C191" s="114">
        <f>'Sampling Data'!B191</f>
        <v>21</v>
      </c>
      <c r="D191" s="114">
        <f>'Sampling Data'!C191</f>
        <v>7</v>
      </c>
      <c r="E191" s="115">
        <f>'Sampling Data'!D191</f>
        <v>0</v>
      </c>
      <c r="F191" s="115">
        <f>'Sampling Data'!E191</f>
        <v>0</v>
      </c>
      <c r="G191" s="115">
        <f>'Sampling Data'!F191</f>
        <v>0</v>
      </c>
      <c r="H191" s="115">
        <f>'Sampling Data'!G191</f>
        <v>0</v>
      </c>
      <c r="I191" s="115">
        <f>'Sampling Data'!H191</f>
        <v>0</v>
      </c>
      <c r="J191" s="115">
        <f>'Sampling Data'!I191</f>
        <v>0</v>
      </c>
      <c r="K191" s="115">
        <f>'Sampling Data'!J191</f>
        <v>0</v>
      </c>
      <c r="L191" s="115">
        <f>'Sampling Data'!K191</f>
        <v>0</v>
      </c>
      <c r="M191" s="115">
        <f>'Sampling Data'!L191</f>
        <v>0</v>
      </c>
      <c r="N191" s="115">
        <f>'Sampling Data'!M191</f>
        <v>0</v>
      </c>
      <c r="O191" s="114">
        <f>'Sampling Data'!N191</f>
        <v>0</v>
      </c>
      <c r="P191" s="114">
        <f>'Sampling Data'!O191</f>
        <v>0</v>
      </c>
      <c r="Q191" s="114">
        <f>'Sampling Data'!P191</f>
        <v>28</v>
      </c>
      <c r="R191" s="114">
        <f>'Sampling Data'!AJ191</f>
        <v>0</v>
      </c>
      <c r="S191" s="116"/>
      <c r="T191" s="116"/>
      <c r="U191" s="117"/>
      <c r="V191" s="117"/>
      <c r="W191" s="116"/>
      <c r="X191" s="116"/>
      <c r="Y191" s="116"/>
      <c r="Z191" s="116"/>
      <c r="AA191" s="15"/>
      <c r="AB191" s="15"/>
      <c r="AC191" s="15"/>
      <c r="AD191" s="15"/>
      <c r="AE191" s="118" t="str">
        <f>IF(NOT(ISBLANK(Audit[[#This Row],[Audit Winning Candidate]])), Audit[[#This Row],[Audit Winning Candidate]]-Audit[[#This Row],[Winning Candidate]], "")</f>
        <v/>
      </c>
      <c r="AF191" s="114" t="str">
        <f>IF(NOT(ISBLANK(Audit[[#This Row],[Audit Losing Candidate]])), Audit[[#This Row],[Audit Losing Candidate]]-Audit[[#This Row],[Losing Candidate]], "")</f>
        <v/>
      </c>
      <c r="AG191" s="114" t="str">
        <f>IF(NOT(ISBLANK(Audit[[#This Row],[Audit Candidate 3]])), Audit[[#This Row],[Audit Candidate 3]]-Audit[[#This Row],[Candidate 3]], "")</f>
        <v/>
      </c>
      <c r="AH191" s="114" t="str">
        <f>IF(NOT(ISBLANK(Audit[[#This Row],[Audit Candidate 4]])),Audit[[#This Row],[Audit Candidate 4]]-Audit[[#This Row],[Candidate 4]], "")</f>
        <v/>
      </c>
      <c r="AI191" s="114" t="str">
        <f>IF(NOT(ISBLANK(Audit[[#This Row],[Audit Candidate 5]])), Audit[[#This Row],[Audit Candidate 5]]-Audit[[#This Row],[Candidate 5]], "")</f>
        <v/>
      </c>
      <c r="AJ191" s="114" t="str">
        <f>IF(NOT(ISBLANK(Audit[[#This Row],[Audit Candidate 6]])), Audit[[#This Row],[Audit Candidate 6]]-Audit[[#This Row],[Candidate 6]], "")</f>
        <v/>
      </c>
      <c r="AK191" s="114" t="str">
        <f>IF(NOT(ISBLANK(Audit[[#This Row],[Audit Candidate 7]])), Audit[[#This Row],[Audit Candidate 7]]-Audit[[#This Row],[Candidate 7]], "")</f>
        <v/>
      </c>
      <c r="AL191" s="114" t="str">
        <f>IF(NOT(ISBLANK(Audit[[#This Row],[Audit Candidate 8]])), Audit[[#This Row],[Audit Candidate 8]]-Audit[[#This Row],[Candidate 8]], "")</f>
        <v/>
      </c>
      <c r="AM191" s="114" t="str">
        <f>IF(NOT(ISBLANK(Audit[[#This Row],[Audit Candidate 9]])), Audit[[#This Row],[Audit Candidate 9]]-Audit[[#This Row],[Candidate 9]], "")</f>
        <v/>
      </c>
      <c r="AN191" s="114" t="str">
        <f>IF(NOT(ISBLANK(Audit[[#This Row],[Audit Candidate 10]])), Audit[[#This Row],[Audit Candidate 10]]-Audit[[#This Row],[Candidate 10]], "")</f>
        <v/>
      </c>
      <c r="AO191" s="114" t="str">
        <f>IF(NOT(ISBLANK(Audit[[#This Row],[Audit Candidate 11]])), Audit[[#This Row],[Audit Candidate 11]]-Audit[[#This Row],[Candidate 11]], "")</f>
        <v/>
      </c>
      <c r="AP191" s="114" t="str">
        <f>IF(NOT(ISBLANK(Audit[[#This Row],[Audit Candidate 12]])), Audit[[#This Row],[Audit Candidate 12]]-Audit[[#This Row],[Candidate 12]], "")</f>
        <v/>
      </c>
      <c r="AQ191" s="114">
        <f>SUMIF(Audit[[#This Row],[Difference Winner]:[Difference Candidate 12]], "&gt;0")</f>
        <v>0</v>
      </c>
      <c r="AR191" s="114">
        <f>SUM(Audit[[#This Row],[Difference Winner]:[Difference Candidate 12]])</f>
        <v>0</v>
      </c>
      <c r="AS191" s="114">
        <f>IF(Audit[[#This Row],[Times p Drawn - With Replacement]]&gt;0, IF(Audit[[#This Row],[Canceled Differences]]&lt;0, Audit[[#This Row],[Max Differences]]+ABS(Audit[[#This Row],[Canceled Differences]]), Audit[[#This Row],[Max Differences]]), 0)</f>
        <v>0</v>
      </c>
      <c r="AT191" s="114">
        <f>'Sampling Data'!AB191</f>
        <v>2.7658613682546851E-3</v>
      </c>
      <c r="AU191" s="114">
        <f>IF(
      SUM(Audit[[#This Row],[Audit Losing Candidate]:[Audit Candidate 12]])
      &lt;&gt;0,
      (Audit[[#This Row],[Winning Candidate]]-Audit[[#This Row],[Losing Candidate]]-(Audit[[#This Row],[Audit Winning Candidate]]-Audit[[#This Row],[Audit Losing Candidate]]))/(Audit[[#Totals],[Winning Candidate]]-Audit[[#Totals],[Losing Candidate]]),
      0
)</f>
        <v>0</v>
      </c>
      <c r="AV1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1" s="114">
        <f>IF(Audit[[#This Row],[Max Relative Error (ep)]] = 0, 0, Audit[[#This Row],[Max Relative Error (ep)]]/Audit[[#This Row],[Error Bound (up) - Max. possible relative overstatement]])</f>
        <v>0</v>
      </c>
      <c r="BH1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1" s="114">
        <f t="shared" si="3"/>
        <v>1</v>
      </c>
      <c r="BJ191" s="114">
        <f>PRODUCT($BI$5:BI191)</f>
        <v>0.20973752198051165</v>
      </c>
      <c r="BK191" s="112">
        <f>1 - Audit[[#This Row],[K-M P Value]]</f>
        <v>0.79026247801948835</v>
      </c>
      <c r="BL191" s="114" t="str">
        <f>IF(Audit[[#This Row],[K-M P Value]]&gt;1-'General Info'!$B$12,"Continue", "Stop")</f>
        <v>Continue</v>
      </c>
      <c r="BM191" s="113" t="b">
        <f>IF(Audit[[#This Row],[Status - Continue or stop audit]] = "Continue", TRUE, IF(BL190 = "Continue", TRUE, FALSE))</f>
        <v>1</v>
      </c>
      <c r="BN191" s="113"/>
    </row>
    <row r="192" spans="1:66" ht="15" hidden="1" customHeight="1" x14ac:dyDescent="0.35">
      <c r="A192" s="114" t="str">
        <f>'Sampling Data'!AI192</f>
        <v/>
      </c>
      <c r="B192" s="114" t="str">
        <f>'Sampling Data'!A192</f>
        <v>2617 CIN 26-Q   (AV)</v>
      </c>
      <c r="C192" s="114">
        <f>'Sampling Data'!B192</f>
        <v>8</v>
      </c>
      <c r="D192" s="114">
        <f>'Sampling Data'!C192</f>
        <v>0</v>
      </c>
      <c r="E192" s="115">
        <f>'Sampling Data'!D192</f>
        <v>1</v>
      </c>
      <c r="F192" s="115">
        <f>'Sampling Data'!E192</f>
        <v>0</v>
      </c>
      <c r="G192" s="115">
        <f>'Sampling Data'!F192</f>
        <v>0</v>
      </c>
      <c r="H192" s="115">
        <f>'Sampling Data'!G192</f>
        <v>0</v>
      </c>
      <c r="I192" s="115">
        <f>'Sampling Data'!H192</f>
        <v>0</v>
      </c>
      <c r="J192" s="115">
        <f>'Sampling Data'!I192</f>
        <v>0</v>
      </c>
      <c r="K192" s="115">
        <f>'Sampling Data'!J192</f>
        <v>0</v>
      </c>
      <c r="L192" s="115">
        <f>'Sampling Data'!K192</f>
        <v>0</v>
      </c>
      <c r="M192" s="115">
        <f>'Sampling Data'!L192</f>
        <v>0</v>
      </c>
      <c r="N192" s="115">
        <f>'Sampling Data'!M192</f>
        <v>0</v>
      </c>
      <c r="O192" s="114">
        <f>'Sampling Data'!N192</f>
        <v>0</v>
      </c>
      <c r="P192" s="114">
        <f>'Sampling Data'!O192</f>
        <v>0</v>
      </c>
      <c r="Q192" s="114">
        <f>'Sampling Data'!P192</f>
        <v>9</v>
      </c>
      <c r="R192" s="114">
        <f>'Sampling Data'!AJ192</f>
        <v>0</v>
      </c>
      <c r="S192" s="116"/>
      <c r="T192" s="116"/>
      <c r="U192" s="117"/>
      <c r="V192" s="117"/>
      <c r="W192" s="116"/>
      <c r="X192" s="116"/>
      <c r="Y192" s="116"/>
      <c r="Z192" s="116"/>
      <c r="AA192" s="15"/>
      <c r="AB192" s="15"/>
      <c r="AC192" s="15"/>
      <c r="AD192" s="15"/>
      <c r="AE192" s="118" t="str">
        <f>IF(NOT(ISBLANK(Audit[[#This Row],[Audit Winning Candidate]])), Audit[[#This Row],[Audit Winning Candidate]]-Audit[[#This Row],[Winning Candidate]], "")</f>
        <v/>
      </c>
      <c r="AF192" s="114" t="str">
        <f>IF(NOT(ISBLANK(Audit[[#This Row],[Audit Losing Candidate]])), Audit[[#This Row],[Audit Losing Candidate]]-Audit[[#This Row],[Losing Candidate]], "")</f>
        <v/>
      </c>
      <c r="AG192" s="114" t="str">
        <f>IF(NOT(ISBLANK(Audit[[#This Row],[Audit Candidate 3]])), Audit[[#This Row],[Audit Candidate 3]]-Audit[[#This Row],[Candidate 3]], "")</f>
        <v/>
      </c>
      <c r="AH192" s="114" t="str">
        <f>IF(NOT(ISBLANK(Audit[[#This Row],[Audit Candidate 4]])),Audit[[#This Row],[Audit Candidate 4]]-Audit[[#This Row],[Candidate 4]], "")</f>
        <v/>
      </c>
      <c r="AI192" s="114" t="str">
        <f>IF(NOT(ISBLANK(Audit[[#This Row],[Audit Candidate 5]])), Audit[[#This Row],[Audit Candidate 5]]-Audit[[#This Row],[Candidate 5]], "")</f>
        <v/>
      </c>
      <c r="AJ192" s="114" t="str">
        <f>IF(NOT(ISBLANK(Audit[[#This Row],[Audit Candidate 6]])), Audit[[#This Row],[Audit Candidate 6]]-Audit[[#This Row],[Candidate 6]], "")</f>
        <v/>
      </c>
      <c r="AK192" s="114" t="str">
        <f>IF(NOT(ISBLANK(Audit[[#This Row],[Audit Candidate 7]])), Audit[[#This Row],[Audit Candidate 7]]-Audit[[#This Row],[Candidate 7]], "")</f>
        <v/>
      </c>
      <c r="AL192" s="114" t="str">
        <f>IF(NOT(ISBLANK(Audit[[#This Row],[Audit Candidate 8]])), Audit[[#This Row],[Audit Candidate 8]]-Audit[[#This Row],[Candidate 8]], "")</f>
        <v/>
      </c>
      <c r="AM192" s="114" t="str">
        <f>IF(NOT(ISBLANK(Audit[[#This Row],[Audit Candidate 9]])), Audit[[#This Row],[Audit Candidate 9]]-Audit[[#This Row],[Candidate 9]], "")</f>
        <v/>
      </c>
      <c r="AN192" s="114" t="str">
        <f>IF(NOT(ISBLANK(Audit[[#This Row],[Audit Candidate 10]])), Audit[[#This Row],[Audit Candidate 10]]-Audit[[#This Row],[Candidate 10]], "")</f>
        <v/>
      </c>
      <c r="AO192" s="114" t="str">
        <f>IF(NOT(ISBLANK(Audit[[#This Row],[Audit Candidate 11]])), Audit[[#This Row],[Audit Candidate 11]]-Audit[[#This Row],[Candidate 11]], "")</f>
        <v/>
      </c>
      <c r="AP192" s="114" t="str">
        <f>IF(NOT(ISBLANK(Audit[[#This Row],[Audit Candidate 12]])), Audit[[#This Row],[Audit Candidate 12]]-Audit[[#This Row],[Candidate 12]], "")</f>
        <v/>
      </c>
      <c r="AQ192" s="114">
        <f>SUMIF(Audit[[#This Row],[Difference Winner]:[Difference Candidate 12]], "&gt;0")</f>
        <v>0</v>
      </c>
      <c r="AR192" s="114">
        <f>SUM(Audit[[#This Row],[Difference Winner]:[Difference Candidate 12]])</f>
        <v>0</v>
      </c>
      <c r="AS192" s="114">
        <f>IF(Audit[[#This Row],[Times p Drawn - With Replacement]]&gt;0, IF(Audit[[#This Row],[Canceled Differences]]&lt;0, Audit[[#This Row],[Max Differences]]+ABS(Audit[[#This Row],[Canceled Differences]]), Audit[[#This Row],[Max Differences]]), 0)</f>
        <v>0</v>
      </c>
      <c r="AT192" s="114">
        <f>'Sampling Data'!AB192</f>
        <v>1.0745212059920359E-3</v>
      </c>
      <c r="AU192" s="114">
        <f>IF(
      SUM(Audit[[#This Row],[Audit Losing Candidate]:[Audit Candidate 12]])
      &lt;&gt;0,
      (Audit[[#This Row],[Winning Candidate]]-Audit[[#This Row],[Losing Candidate]]-(Audit[[#This Row],[Audit Winning Candidate]]-Audit[[#This Row],[Audit Losing Candidate]]))/(Audit[[#Totals],[Winning Candidate]]-Audit[[#Totals],[Losing Candidate]]),
      0
)</f>
        <v>0</v>
      </c>
      <c r="AV1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2" s="114">
        <f>IF(Audit[[#This Row],[Max Relative Error (ep)]] = 0, 0, Audit[[#This Row],[Max Relative Error (ep)]]/Audit[[#This Row],[Error Bound (up) - Max. possible relative overstatement]])</f>
        <v>0</v>
      </c>
      <c r="BH1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2" s="114">
        <f t="shared" si="3"/>
        <v>1</v>
      </c>
      <c r="BJ192" s="114">
        <f>PRODUCT($BI$5:BI192)</f>
        <v>0.20973752198051165</v>
      </c>
      <c r="BK192" s="112">
        <f>1 - Audit[[#This Row],[K-M P Value]]</f>
        <v>0.79026247801948835</v>
      </c>
      <c r="BL192" s="114" t="str">
        <f>IF(Audit[[#This Row],[K-M P Value]]&gt;1-'General Info'!$B$12,"Continue", "Stop")</f>
        <v>Continue</v>
      </c>
      <c r="BM192" s="113" t="b">
        <f>IF(Audit[[#This Row],[Status - Continue or stop audit]] = "Continue", TRUE, IF(BL191 = "Continue", TRUE, FALSE))</f>
        <v>1</v>
      </c>
      <c r="BN192" s="113"/>
    </row>
    <row r="193" spans="1:66" ht="15" hidden="1" customHeight="1" x14ac:dyDescent="0.35">
      <c r="A193" s="114" t="str">
        <f>'Sampling Data'!AI193</f>
        <v/>
      </c>
      <c r="B193" s="114" t="str">
        <f>'Sampling Data'!A193</f>
        <v>2618 CIN 26-R   (AV)</v>
      </c>
      <c r="C193" s="114">
        <f>'Sampling Data'!B193</f>
        <v>12</v>
      </c>
      <c r="D193" s="114">
        <f>'Sampling Data'!C193</f>
        <v>2</v>
      </c>
      <c r="E193" s="115">
        <f>'Sampling Data'!D193</f>
        <v>0</v>
      </c>
      <c r="F193" s="115">
        <f>'Sampling Data'!E193</f>
        <v>0</v>
      </c>
      <c r="G193" s="115">
        <f>'Sampling Data'!F193</f>
        <v>0</v>
      </c>
      <c r="H193" s="115">
        <f>'Sampling Data'!G193</f>
        <v>0</v>
      </c>
      <c r="I193" s="115">
        <f>'Sampling Data'!H193</f>
        <v>0</v>
      </c>
      <c r="J193" s="115">
        <f>'Sampling Data'!I193</f>
        <v>0</v>
      </c>
      <c r="K193" s="115">
        <f>'Sampling Data'!J193</f>
        <v>0</v>
      </c>
      <c r="L193" s="115">
        <f>'Sampling Data'!K193</f>
        <v>0</v>
      </c>
      <c r="M193" s="115">
        <f>'Sampling Data'!L193</f>
        <v>0</v>
      </c>
      <c r="N193" s="115">
        <f>'Sampling Data'!M193</f>
        <v>0</v>
      </c>
      <c r="O193" s="114">
        <f>'Sampling Data'!N193</f>
        <v>0</v>
      </c>
      <c r="P193" s="114">
        <f>'Sampling Data'!O193</f>
        <v>0</v>
      </c>
      <c r="Q193" s="114">
        <f>'Sampling Data'!P193</f>
        <v>14</v>
      </c>
      <c r="R193" s="114">
        <f>'Sampling Data'!AJ193</f>
        <v>0</v>
      </c>
      <c r="S193" s="116"/>
      <c r="T193" s="116"/>
      <c r="U193" s="117"/>
      <c r="V193" s="117"/>
      <c r="W193" s="116"/>
      <c r="X193" s="116"/>
      <c r="Y193" s="116"/>
      <c r="Z193" s="116"/>
      <c r="AA193" s="15"/>
      <c r="AB193" s="15"/>
      <c r="AC193" s="15"/>
      <c r="AD193" s="15"/>
      <c r="AE193" s="118" t="str">
        <f>IF(NOT(ISBLANK(Audit[[#This Row],[Audit Winning Candidate]])), Audit[[#This Row],[Audit Winning Candidate]]-Audit[[#This Row],[Winning Candidate]], "")</f>
        <v/>
      </c>
      <c r="AF193" s="114" t="str">
        <f>IF(NOT(ISBLANK(Audit[[#This Row],[Audit Losing Candidate]])), Audit[[#This Row],[Audit Losing Candidate]]-Audit[[#This Row],[Losing Candidate]], "")</f>
        <v/>
      </c>
      <c r="AG193" s="114" t="str">
        <f>IF(NOT(ISBLANK(Audit[[#This Row],[Audit Candidate 3]])), Audit[[#This Row],[Audit Candidate 3]]-Audit[[#This Row],[Candidate 3]], "")</f>
        <v/>
      </c>
      <c r="AH193" s="114" t="str">
        <f>IF(NOT(ISBLANK(Audit[[#This Row],[Audit Candidate 4]])),Audit[[#This Row],[Audit Candidate 4]]-Audit[[#This Row],[Candidate 4]], "")</f>
        <v/>
      </c>
      <c r="AI193" s="114" t="str">
        <f>IF(NOT(ISBLANK(Audit[[#This Row],[Audit Candidate 5]])), Audit[[#This Row],[Audit Candidate 5]]-Audit[[#This Row],[Candidate 5]], "")</f>
        <v/>
      </c>
      <c r="AJ193" s="114" t="str">
        <f>IF(NOT(ISBLANK(Audit[[#This Row],[Audit Candidate 6]])), Audit[[#This Row],[Audit Candidate 6]]-Audit[[#This Row],[Candidate 6]], "")</f>
        <v/>
      </c>
      <c r="AK193" s="114" t="str">
        <f>IF(NOT(ISBLANK(Audit[[#This Row],[Audit Candidate 7]])), Audit[[#This Row],[Audit Candidate 7]]-Audit[[#This Row],[Candidate 7]], "")</f>
        <v/>
      </c>
      <c r="AL193" s="114" t="str">
        <f>IF(NOT(ISBLANK(Audit[[#This Row],[Audit Candidate 8]])), Audit[[#This Row],[Audit Candidate 8]]-Audit[[#This Row],[Candidate 8]], "")</f>
        <v/>
      </c>
      <c r="AM193" s="114" t="str">
        <f>IF(NOT(ISBLANK(Audit[[#This Row],[Audit Candidate 9]])), Audit[[#This Row],[Audit Candidate 9]]-Audit[[#This Row],[Candidate 9]], "")</f>
        <v/>
      </c>
      <c r="AN193" s="114" t="str">
        <f>IF(NOT(ISBLANK(Audit[[#This Row],[Audit Candidate 10]])), Audit[[#This Row],[Audit Candidate 10]]-Audit[[#This Row],[Candidate 10]], "")</f>
        <v/>
      </c>
      <c r="AO193" s="114" t="str">
        <f>IF(NOT(ISBLANK(Audit[[#This Row],[Audit Candidate 11]])), Audit[[#This Row],[Audit Candidate 11]]-Audit[[#This Row],[Candidate 11]], "")</f>
        <v/>
      </c>
      <c r="AP193" s="114" t="str">
        <f>IF(NOT(ISBLANK(Audit[[#This Row],[Audit Candidate 12]])), Audit[[#This Row],[Audit Candidate 12]]-Audit[[#This Row],[Candidate 12]], "")</f>
        <v/>
      </c>
      <c r="AQ193" s="114">
        <f>SUMIF(Audit[[#This Row],[Difference Winner]:[Difference Candidate 12]], "&gt;0")</f>
        <v>0</v>
      </c>
      <c r="AR193" s="114">
        <f>SUM(Audit[[#This Row],[Difference Winner]:[Difference Candidate 12]])</f>
        <v>0</v>
      </c>
      <c r="AS193" s="114">
        <f>IF(Audit[[#This Row],[Times p Drawn - With Replacement]]&gt;0, IF(Audit[[#This Row],[Canceled Differences]]&lt;0, Audit[[#This Row],[Max Differences]]+ABS(Audit[[#This Row],[Canceled Differences]]), Audit[[#This Row],[Max Differences]]), 0)</f>
        <v>0</v>
      </c>
      <c r="AT193" s="114">
        <f>'Sampling Data'!AB193</f>
        <v>1.5169711143416978E-3</v>
      </c>
      <c r="AU193" s="114">
        <f>IF(
      SUM(Audit[[#This Row],[Audit Losing Candidate]:[Audit Candidate 12]])
      &lt;&gt;0,
      (Audit[[#This Row],[Winning Candidate]]-Audit[[#This Row],[Losing Candidate]]-(Audit[[#This Row],[Audit Winning Candidate]]-Audit[[#This Row],[Audit Losing Candidate]]))/(Audit[[#Totals],[Winning Candidate]]-Audit[[#Totals],[Losing Candidate]]),
      0
)</f>
        <v>0</v>
      </c>
      <c r="AV1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3" s="114">
        <f>IF(Audit[[#This Row],[Max Relative Error (ep)]] = 0, 0, Audit[[#This Row],[Max Relative Error (ep)]]/Audit[[#This Row],[Error Bound (up) - Max. possible relative overstatement]])</f>
        <v>0</v>
      </c>
      <c r="BH1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3" s="114">
        <f t="shared" si="3"/>
        <v>1</v>
      </c>
      <c r="BJ193" s="114">
        <f>PRODUCT($BI$5:BI193)</f>
        <v>0.20973752198051165</v>
      </c>
      <c r="BK193" s="112">
        <f>1 - Audit[[#This Row],[K-M P Value]]</f>
        <v>0.79026247801948835</v>
      </c>
      <c r="BL193" s="114" t="str">
        <f>IF(Audit[[#This Row],[K-M P Value]]&gt;1-'General Info'!$B$12,"Continue", "Stop")</f>
        <v>Continue</v>
      </c>
      <c r="BM193" s="113" t="b">
        <f>IF(Audit[[#This Row],[Status - Continue or stop audit]] = "Continue", TRUE, IF(BL192 = "Continue", TRUE, FALSE))</f>
        <v>1</v>
      </c>
      <c r="BN193" s="113"/>
    </row>
    <row r="194" spans="1:66" ht="15" hidden="1" customHeight="1" x14ac:dyDescent="0.35">
      <c r="A194" s="114" t="str">
        <f>'Sampling Data'!AI194</f>
        <v/>
      </c>
      <c r="B194" s="114" t="str">
        <f>'Sampling Data'!A194</f>
        <v>2619 CIN 26-S   (AV)</v>
      </c>
      <c r="C194" s="114">
        <f>'Sampling Data'!B194</f>
        <v>9</v>
      </c>
      <c r="D194" s="114">
        <f>'Sampling Data'!C194</f>
        <v>3</v>
      </c>
      <c r="E194" s="115">
        <f>'Sampling Data'!D194</f>
        <v>0</v>
      </c>
      <c r="F194" s="115">
        <f>'Sampling Data'!E194</f>
        <v>0</v>
      </c>
      <c r="G194" s="115">
        <f>'Sampling Data'!F194</f>
        <v>0</v>
      </c>
      <c r="H194" s="115">
        <f>'Sampling Data'!G194</f>
        <v>0</v>
      </c>
      <c r="I194" s="115">
        <f>'Sampling Data'!H194</f>
        <v>0</v>
      </c>
      <c r="J194" s="115">
        <f>'Sampling Data'!I194</f>
        <v>0</v>
      </c>
      <c r="K194" s="115">
        <f>'Sampling Data'!J194</f>
        <v>0</v>
      </c>
      <c r="L194" s="115">
        <f>'Sampling Data'!K194</f>
        <v>0</v>
      </c>
      <c r="M194" s="115">
        <f>'Sampling Data'!L194</f>
        <v>0</v>
      </c>
      <c r="N194" s="115">
        <f>'Sampling Data'!M194</f>
        <v>0</v>
      </c>
      <c r="O194" s="114">
        <f>'Sampling Data'!N194</f>
        <v>0</v>
      </c>
      <c r="P194" s="114">
        <f>'Sampling Data'!O194</f>
        <v>0</v>
      </c>
      <c r="Q194" s="114">
        <f>'Sampling Data'!P194</f>
        <v>12</v>
      </c>
      <c r="R194" s="114">
        <f>'Sampling Data'!AJ194</f>
        <v>0</v>
      </c>
      <c r="S194" s="116"/>
      <c r="T194" s="116"/>
      <c r="U194" s="117"/>
      <c r="V194" s="117"/>
      <c r="W194" s="116"/>
      <c r="X194" s="116"/>
      <c r="Y194" s="116"/>
      <c r="Z194" s="116"/>
      <c r="AA194" s="15"/>
      <c r="AB194" s="15"/>
      <c r="AC194" s="15"/>
      <c r="AD194" s="15"/>
      <c r="AE194" s="118" t="str">
        <f>IF(NOT(ISBLANK(Audit[[#This Row],[Audit Winning Candidate]])), Audit[[#This Row],[Audit Winning Candidate]]-Audit[[#This Row],[Winning Candidate]], "")</f>
        <v/>
      </c>
      <c r="AF194" s="114" t="str">
        <f>IF(NOT(ISBLANK(Audit[[#This Row],[Audit Losing Candidate]])), Audit[[#This Row],[Audit Losing Candidate]]-Audit[[#This Row],[Losing Candidate]], "")</f>
        <v/>
      </c>
      <c r="AG194" s="114" t="str">
        <f>IF(NOT(ISBLANK(Audit[[#This Row],[Audit Candidate 3]])), Audit[[#This Row],[Audit Candidate 3]]-Audit[[#This Row],[Candidate 3]], "")</f>
        <v/>
      </c>
      <c r="AH194" s="114" t="str">
        <f>IF(NOT(ISBLANK(Audit[[#This Row],[Audit Candidate 4]])),Audit[[#This Row],[Audit Candidate 4]]-Audit[[#This Row],[Candidate 4]], "")</f>
        <v/>
      </c>
      <c r="AI194" s="114" t="str">
        <f>IF(NOT(ISBLANK(Audit[[#This Row],[Audit Candidate 5]])), Audit[[#This Row],[Audit Candidate 5]]-Audit[[#This Row],[Candidate 5]], "")</f>
        <v/>
      </c>
      <c r="AJ194" s="114" t="str">
        <f>IF(NOT(ISBLANK(Audit[[#This Row],[Audit Candidate 6]])), Audit[[#This Row],[Audit Candidate 6]]-Audit[[#This Row],[Candidate 6]], "")</f>
        <v/>
      </c>
      <c r="AK194" s="114" t="str">
        <f>IF(NOT(ISBLANK(Audit[[#This Row],[Audit Candidate 7]])), Audit[[#This Row],[Audit Candidate 7]]-Audit[[#This Row],[Candidate 7]], "")</f>
        <v/>
      </c>
      <c r="AL194" s="114" t="str">
        <f>IF(NOT(ISBLANK(Audit[[#This Row],[Audit Candidate 8]])), Audit[[#This Row],[Audit Candidate 8]]-Audit[[#This Row],[Candidate 8]], "")</f>
        <v/>
      </c>
      <c r="AM194" s="114" t="str">
        <f>IF(NOT(ISBLANK(Audit[[#This Row],[Audit Candidate 9]])), Audit[[#This Row],[Audit Candidate 9]]-Audit[[#This Row],[Candidate 9]], "")</f>
        <v/>
      </c>
      <c r="AN194" s="114" t="str">
        <f>IF(NOT(ISBLANK(Audit[[#This Row],[Audit Candidate 10]])), Audit[[#This Row],[Audit Candidate 10]]-Audit[[#This Row],[Candidate 10]], "")</f>
        <v/>
      </c>
      <c r="AO194" s="114" t="str">
        <f>IF(NOT(ISBLANK(Audit[[#This Row],[Audit Candidate 11]])), Audit[[#This Row],[Audit Candidate 11]]-Audit[[#This Row],[Candidate 11]], "")</f>
        <v/>
      </c>
      <c r="AP194" s="114" t="str">
        <f>IF(NOT(ISBLANK(Audit[[#This Row],[Audit Candidate 12]])), Audit[[#This Row],[Audit Candidate 12]]-Audit[[#This Row],[Candidate 12]], "")</f>
        <v/>
      </c>
      <c r="AQ194" s="114">
        <f>SUMIF(Audit[[#This Row],[Difference Winner]:[Difference Candidate 12]], "&gt;0")</f>
        <v>0</v>
      </c>
      <c r="AR194" s="114">
        <f>SUM(Audit[[#This Row],[Difference Winner]:[Difference Candidate 12]])</f>
        <v>0</v>
      </c>
      <c r="AS194" s="114">
        <f>IF(Audit[[#This Row],[Times p Drawn - With Replacement]]&gt;0, IF(Audit[[#This Row],[Canceled Differences]]&lt;0, Audit[[#This Row],[Max Differences]]+ABS(Audit[[#This Row],[Canceled Differences]]), Audit[[#This Row],[Max Differences]]), 0)</f>
        <v>0</v>
      </c>
      <c r="AT194" s="114">
        <f>'Sampling Data'!AB194</f>
        <v>1.1853691578234365E-3</v>
      </c>
      <c r="AU194" s="114">
        <f>IF(
      SUM(Audit[[#This Row],[Audit Losing Candidate]:[Audit Candidate 12]])
      &lt;&gt;0,
      (Audit[[#This Row],[Winning Candidate]]-Audit[[#This Row],[Losing Candidate]]-(Audit[[#This Row],[Audit Winning Candidate]]-Audit[[#This Row],[Audit Losing Candidate]]))/(Audit[[#Totals],[Winning Candidate]]-Audit[[#Totals],[Losing Candidate]]),
      0
)</f>
        <v>0</v>
      </c>
      <c r="AV1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4" s="114">
        <f>IF(Audit[[#This Row],[Max Relative Error (ep)]] = 0, 0, Audit[[#This Row],[Max Relative Error (ep)]]/Audit[[#This Row],[Error Bound (up) - Max. possible relative overstatement]])</f>
        <v>0</v>
      </c>
      <c r="BH1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4" s="114">
        <f t="shared" si="3"/>
        <v>1</v>
      </c>
      <c r="BJ194" s="114">
        <f>PRODUCT($BI$5:BI194)</f>
        <v>0.20973752198051165</v>
      </c>
      <c r="BK194" s="112">
        <f>1 - Audit[[#This Row],[K-M P Value]]</f>
        <v>0.79026247801948835</v>
      </c>
      <c r="BL194" s="114" t="str">
        <f>IF(Audit[[#This Row],[K-M P Value]]&gt;1-'General Info'!$B$12,"Continue", "Stop")</f>
        <v>Continue</v>
      </c>
      <c r="BM194" s="113" t="b">
        <f>IF(Audit[[#This Row],[Status - Continue or stop audit]] = "Continue", TRUE, IF(BL193 = "Continue", TRUE, FALSE))</f>
        <v>1</v>
      </c>
      <c r="BN194" s="113"/>
    </row>
    <row r="195" spans="1:66" ht="15" hidden="1" customHeight="1" x14ac:dyDescent="0.35">
      <c r="A195" s="114" t="str">
        <f>'Sampling Data'!AI195</f>
        <v/>
      </c>
      <c r="B195" s="114" t="str">
        <f>'Sampling Data'!A195</f>
        <v>0101 CIN 1-A   (ED)</v>
      </c>
      <c r="C195" s="114">
        <f>'Sampling Data'!B195</f>
        <v>13</v>
      </c>
      <c r="D195" s="114">
        <f>'Sampling Data'!C195</f>
        <v>15</v>
      </c>
      <c r="E195" s="115">
        <f>'Sampling Data'!D195</f>
        <v>6</v>
      </c>
      <c r="F195" s="115">
        <f>'Sampling Data'!E195</f>
        <v>0</v>
      </c>
      <c r="G195" s="115">
        <f>'Sampling Data'!F195</f>
        <v>0</v>
      </c>
      <c r="H195" s="115">
        <f>'Sampling Data'!G195</f>
        <v>0</v>
      </c>
      <c r="I195" s="115">
        <f>'Sampling Data'!H195</f>
        <v>0</v>
      </c>
      <c r="J195" s="115">
        <f>'Sampling Data'!I195</f>
        <v>0</v>
      </c>
      <c r="K195" s="115">
        <f>'Sampling Data'!J195</f>
        <v>0</v>
      </c>
      <c r="L195" s="115">
        <f>'Sampling Data'!K195</f>
        <v>0</v>
      </c>
      <c r="M195" s="115">
        <f>'Sampling Data'!L195</f>
        <v>0</v>
      </c>
      <c r="N195" s="115">
        <f>'Sampling Data'!M195</f>
        <v>0</v>
      </c>
      <c r="O195" s="114">
        <f>'Sampling Data'!N195</f>
        <v>0</v>
      </c>
      <c r="P195" s="114">
        <f>'Sampling Data'!O195</f>
        <v>2</v>
      </c>
      <c r="Q195" s="114">
        <f>'Sampling Data'!P195</f>
        <v>36</v>
      </c>
      <c r="R195" s="114">
        <f>'Sampling Data'!AJ195</f>
        <v>0</v>
      </c>
      <c r="S195" s="116"/>
      <c r="T195" s="116"/>
      <c r="U195" s="117"/>
      <c r="V195" s="117"/>
      <c r="W195" s="116"/>
      <c r="X195" s="116"/>
      <c r="Y195" s="116"/>
      <c r="Z195" s="116"/>
      <c r="AA195" s="15"/>
      <c r="AB195" s="15"/>
      <c r="AC195" s="15"/>
      <c r="AD195" s="15"/>
      <c r="AE195" s="118" t="str">
        <f>IF(NOT(ISBLANK(Audit[[#This Row],[Audit Winning Candidate]])), Audit[[#This Row],[Audit Winning Candidate]]-Audit[[#This Row],[Winning Candidate]], "")</f>
        <v/>
      </c>
      <c r="AF195" s="114" t="str">
        <f>IF(NOT(ISBLANK(Audit[[#This Row],[Audit Losing Candidate]])), Audit[[#This Row],[Audit Losing Candidate]]-Audit[[#This Row],[Losing Candidate]], "")</f>
        <v/>
      </c>
      <c r="AG195" s="114" t="str">
        <f>IF(NOT(ISBLANK(Audit[[#This Row],[Audit Candidate 3]])), Audit[[#This Row],[Audit Candidate 3]]-Audit[[#This Row],[Candidate 3]], "")</f>
        <v/>
      </c>
      <c r="AH195" s="114" t="str">
        <f>IF(NOT(ISBLANK(Audit[[#This Row],[Audit Candidate 4]])),Audit[[#This Row],[Audit Candidate 4]]-Audit[[#This Row],[Candidate 4]], "")</f>
        <v/>
      </c>
      <c r="AI195" s="114" t="str">
        <f>IF(NOT(ISBLANK(Audit[[#This Row],[Audit Candidate 5]])), Audit[[#This Row],[Audit Candidate 5]]-Audit[[#This Row],[Candidate 5]], "")</f>
        <v/>
      </c>
      <c r="AJ195" s="114" t="str">
        <f>IF(NOT(ISBLANK(Audit[[#This Row],[Audit Candidate 6]])), Audit[[#This Row],[Audit Candidate 6]]-Audit[[#This Row],[Candidate 6]], "")</f>
        <v/>
      </c>
      <c r="AK195" s="114" t="str">
        <f>IF(NOT(ISBLANK(Audit[[#This Row],[Audit Candidate 7]])), Audit[[#This Row],[Audit Candidate 7]]-Audit[[#This Row],[Candidate 7]], "")</f>
        <v/>
      </c>
      <c r="AL195" s="114" t="str">
        <f>IF(NOT(ISBLANK(Audit[[#This Row],[Audit Candidate 8]])), Audit[[#This Row],[Audit Candidate 8]]-Audit[[#This Row],[Candidate 8]], "")</f>
        <v/>
      </c>
      <c r="AM195" s="114" t="str">
        <f>IF(NOT(ISBLANK(Audit[[#This Row],[Audit Candidate 9]])), Audit[[#This Row],[Audit Candidate 9]]-Audit[[#This Row],[Candidate 9]], "")</f>
        <v/>
      </c>
      <c r="AN195" s="114" t="str">
        <f>IF(NOT(ISBLANK(Audit[[#This Row],[Audit Candidate 10]])), Audit[[#This Row],[Audit Candidate 10]]-Audit[[#This Row],[Candidate 10]], "")</f>
        <v/>
      </c>
      <c r="AO195" s="114" t="str">
        <f>IF(NOT(ISBLANK(Audit[[#This Row],[Audit Candidate 11]])), Audit[[#This Row],[Audit Candidate 11]]-Audit[[#This Row],[Candidate 11]], "")</f>
        <v/>
      </c>
      <c r="AP195" s="114" t="str">
        <f>IF(NOT(ISBLANK(Audit[[#This Row],[Audit Candidate 12]])), Audit[[#This Row],[Audit Candidate 12]]-Audit[[#This Row],[Candidate 12]], "")</f>
        <v/>
      </c>
      <c r="AQ195" s="114">
        <f>SUMIF(Audit[[#This Row],[Difference Winner]:[Difference Candidate 12]], "&gt;0")</f>
        <v>0</v>
      </c>
      <c r="AR195" s="114">
        <f>SUM(Audit[[#This Row],[Difference Winner]:[Difference Candidate 12]])</f>
        <v>0</v>
      </c>
      <c r="AS195" s="114">
        <f>IF(Audit[[#This Row],[Times p Drawn - With Replacement]]&gt;0, IF(Audit[[#This Row],[Canceled Differences]]&lt;0, Audit[[#This Row],[Max Differences]]+ABS(Audit[[#This Row],[Canceled Differences]]), Audit[[#This Row],[Max Differences]]), 0)</f>
        <v>0</v>
      </c>
      <c r="AT195" s="114">
        <f>'Sampling Data'!AB195</f>
        <v>2.4271844660194173E-3</v>
      </c>
      <c r="AU195" s="114">
        <f>IF(
      SUM(Audit[[#This Row],[Audit Losing Candidate]:[Audit Candidate 12]])
      &lt;&gt;0,
      (Audit[[#This Row],[Winning Candidate]]-Audit[[#This Row],[Losing Candidate]]-(Audit[[#This Row],[Audit Winning Candidate]]-Audit[[#This Row],[Audit Losing Candidate]]))/(Audit[[#Totals],[Winning Candidate]]-Audit[[#Totals],[Losing Candidate]]),
      0
)</f>
        <v>0</v>
      </c>
      <c r="AV1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5" s="114">
        <f>IF(Audit[[#This Row],[Max Relative Error (ep)]] = 0, 0, Audit[[#This Row],[Max Relative Error (ep)]]/Audit[[#This Row],[Error Bound (up) - Max. possible relative overstatement]])</f>
        <v>0</v>
      </c>
      <c r="BH1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5" s="114">
        <f t="shared" si="3"/>
        <v>1</v>
      </c>
      <c r="BJ195" s="114">
        <f>PRODUCT($BI$5:BI195)</f>
        <v>0.20973752198051165</v>
      </c>
      <c r="BK195" s="112">
        <f>1 - Audit[[#This Row],[K-M P Value]]</f>
        <v>0.79026247801948835</v>
      </c>
      <c r="BL195" s="114" t="str">
        <f>IF(Audit[[#This Row],[K-M P Value]]&gt;1-'General Info'!$B$12,"Continue", "Stop")</f>
        <v>Continue</v>
      </c>
      <c r="BM195" s="113" t="b">
        <f>IF(Audit[[#This Row],[Status - Continue or stop audit]] = "Continue", TRUE, IF(BL194 = "Continue", TRUE, FALSE))</f>
        <v>1</v>
      </c>
      <c r="BN195" s="113"/>
    </row>
    <row r="196" spans="1:66" ht="15" hidden="1" customHeight="1" x14ac:dyDescent="0.35">
      <c r="A196" s="114" t="str">
        <f>'Sampling Data'!AI196</f>
        <v/>
      </c>
      <c r="B196" s="114" t="str">
        <f>'Sampling Data'!A196</f>
        <v>0102 CIN 1-B   (ED)</v>
      </c>
      <c r="C196" s="114">
        <f>'Sampling Data'!B196</f>
        <v>186</v>
      </c>
      <c r="D196" s="114">
        <f>'Sampling Data'!C196</f>
        <v>42</v>
      </c>
      <c r="E196" s="115">
        <f>'Sampling Data'!D196</f>
        <v>18</v>
      </c>
      <c r="F196" s="115">
        <f>'Sampling Data'!E196</f>
        <v>0</v>
      </c>
      <c r="G196" s="115">
        <f>'Sampling Data'!F196</f>
        <v>0</v>
      </c>
      <c r="H196" s="115">
        <f>'Sampling Data'!G196</f>
        <v>0</v>
      </c>
      <c r="I196" s="115">
        <f>'Sampling Data'!H196</f>
        <v>0</v>
      </c>
      <c r="J196" s="115">
        <f>'Sampling Data'!I196</f>
        <v>0</v>
      </c>
      <c r="K196" s="115">
        <f>'Sampling Data'!J196</f>
        <v>0</v>
      </c>
      <c r="L196" s="115">
        <f>'Sampling Data'!K196</f>
        <v>0</v>
      </c>
      <c r="M196" s="115">
        <f>'Sampling Data'!L196</f>
        <v>0</v>
      </c>
      <c r="N196" s="115">
        <f>'Sampling Data'!M196</f>
        <v>0</v>
      </c>
      <c r="O196" s="114">
        <f>'Sampling Data'!N196</f>
        <v>0</v>
      </c>
      <c r="P196" s="114">
        <f>'Sampling Data'!O196</f>
        <v>2</v>
      </c>
      <c r="Q196" s="114">
        <f>'Sampling Data'!P196</f>
        <v>248</v>
      </c>
      <c r="R196" s="114">
        <f>'Sampling Data'!AJ196</f>
        <v>0</v>
      </c>
      <c r="S196" s="116"/>
      <c r="T196" s="116"/>
      <c r="U196" s="117"/>
      <c r="V196" s="117"/>
      <c r="W196" s="116"/>
      <c r="X196" s="116"/>
      <c r="Y196" s="116"/>
      <c r="Z196" s="116"/>
      <c r="AA196" s="15"/>
      <c r="AB196" s="15"/>
      <c r="AC196" s="15"/>
      <c r="AD196" s="15"/>
      <c r="AE196" s="118" t="str">
        <f>IF(NOT(ISBLANK(Audit[[#This Row],[Audit Winning Candidate]])), Audit[[#This Row],[Audit Winning Candidate]]-Audit[[#This Row],[Winning Candidate]], "")</f>
        <v/>
      </c>
      <c r="AF196" s="114" t="str">
        <f>IF(NOT(ISBLANK(Audit[[#This Row],[Audit Losing Candidate]])), Audit[[#This Row],[Audit Losing Candidate]]-Audit[[#This Row],[Losing Candidate]], "")</f>
        <v/>
      </c>
      <c r="AG196" s="114" t="str">
        <f>IF(NOT(ISBLANK(Audit[[#This Row],[Audit Candidate 3]])), Audit[[#This Row],[Audit Candidate 3]]-Audit[[#This Row],[Candidate 3]], "")</f>
        <v/>
      </c>
      <c r="AH196" s="114" t="str">
        <f>IF(NOT(ISBLANK(Audit[[#This Row],[Audit Candidate 4]])),Audit[[#This Row],[Audit Candidate 4]]-Audit[[#This Row],[Candidate 4]], "")</f>
        <v/>
      </c>
      <c r="AI196" s="114" t="str">
        <f>IF(NOT(ISBLANK(Audit[[#This Row],[Audit Candidate 5]])), Audit[[#This Row],[Audit Candidate 5]]-Audit[[#This Row],[Candidate 5]], "")</f>
        <v/>
      </c>
      <c r="AJ196" s="114" t="str">
        <f>IF(NOT(ISBLANK(Audit[[#This Row],[Audit Candidate 6]])), Audit[[#This Row],[Audit Candidate 6]]-Audit[[#This Row],[Candidate 6]], "")</f>
        <v/>
      </c>
      <c r="AK196" s="114" t="str">
        <f>IF(NOT(ISBLANK(Audit[[#This Row],[Audit Candidate 7]])), Audit[[#This Row],[Audit Candidate 7]]-Audit[[#This Row],[Candidate 7]], "")</f>
        <v/>
      </c>
      <c r="AL196" s="114" t="str">
        <f>IF(NOT(ISBLANK(Audit[[#This Row],[Audit Candidate 8]])), Audit[[#This Row],[Audit Candidate 8]]-Audit[[#This Row],[Candidate 8]], "")</f>
        <v/>
      </c>
      <c r="AM196" s="114" t="str">
        <f>IF(NOT(ISBLANK(Audit[[#This Row],[Audit Candidate 9]])), Audit[[#This Row],[Audit Candidate 9]]-Audit[[#This Row],[Candidate 9]], "")</f>
        <v/>
      </c>
      <c r="AN196" s="114" t="str">
        <f>IF(NOT(ISBLANK(Audit[[#This Row],[Audit Candidate 10]])), Audit[[#This Row],[Audit Candidate 10]]-Audit[[#This Row],[Candidate 10]], "")</f>
        <v/>
      </c>
      <c r="AO196" s="114" t="str">
        <f>IF(NOT(ISBLANK(Audit[[#This Row],[Audit Candidate 11]])), Audit[[#This Row],[Audit Candidate 11]]-Audit[[#This Row],[Candidate 11]], "")</f>
        <v/>
      </c>
      <c r="AP196" s="114" t="str">
        <f>IF(NOT(ISBLANK(Audit[[#This Row],[Audit Candidate 12]])), Audit[[#This Row],[Audit Candidate 12]]-Audit[[#This Row],[Candidate 12]], "")</f>
        <v/>
      </c>
      <c r="AQ196" s="114">
        <f>SUMIF(Audit[[#This Row],[Difference Winner]:[Difference Candidate 12]], "&gt;0")</f>
        <v>0</v>
      </c>
      <c r="AR196" s="114">
        <f>SUM(Audit[[#This Row],[Difference Winner]:[Difference Candidate 12]])</f>
        <v>0</v>
      </c>
      <c r="AS196" s="114">
        <f>IF(Audit[[#This Row],[Times p Drawn - With Replacement]]&gt;0, IF(Audit[[#This Row],[Canceled Differences]]&lt;0, Audit[[#This Row],[Max Differences]]+ABS(Audit[[#This Row],[Canceled Differences]]), Audit[[#This Row],[Max Differences]]), 0)</f>
        <v>0</v>
      </c>
      <c r="AT196" s="114">
        <f>'Sampling Data'!AB196</f>
        <v>2.4777194867581061E-2</v>
      </c>
      <c r="AU196" s="114">
        <f>IF(
      SUM(Audit[[#This Row],[Audit Losing Candidate]:[Audit Candidate 12]])
      &lt;&gt;0,
      (Audit[[#This Row],[Winning Candidate]]-Audit[[#This Row],[Losing Candidate]]-(Audit[[#This Row],[Audit Winning Candidate]]-Audit[[#This Row],[Audit Losing Candidate]]))/(Audit[[#Totals],[Winning Candidate]]-Audit[[#Totals],[Losing Candidate]]),
      0
)</f>
        <v>0</v>
      </c>
      <c r="AV1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6" s="114">
        <f>IF(Audit[[#This Row],[Max Relative Error (ep)]] = 0, 0, Audit[[#This Row],[Max Relative Error (ep)]]/Audit[[#This Row],[Error Bound (up) - Max. possible relative overstatement]])</f>
        <v>0</v>
      </c>
      <c r="BH1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6" s="114">
        <f t="shared" si="3"/>
        <v>1</v>
      </c>
      <c r="BJ196" s="114">
        <f>PRODUCT($BI$5:BI196)</f>
        <v>0.20973752198051165</v>
      </c>
      <c r="BK196" s="112">
        <f>1 - Audit[[#This Row],[K-M P Value]]</f>
        <v>0.79026247801948835</v>
      </c>
      <c r="BL196" s="114" t="str">
        <f>IF(Audit[[#This Row],[K-M P Value]]&gt;1-'General Info'!$B$12,"Continue", "Stop")</f>
        <v>Continue</v>
      </c>
      <c r="BM196" s="113" t="b">
        <f>IF(Audit[[#This Row],[Status - Continue or stop audit]] = "Continue", TRUE, IF(BL195 = "Continue", TRUE, FALSE))</f>
        <v>1</v>
      </c>
      <c r="BN196" s="113"/>
    </row>
    <row r="197" spans="1:66" ht="15" hidden="1" customHeight="1" x14ac:dyDescent="0.35">
      <c r="A197" s="114" t="str">
        <f>'Sampling Data'!AI197</f>
        <v/>
      </c>
      <c r="B197" s="114" t="str">
        <f>'Sampling Data'!A197</f>
        <v>0103 CIN 1-C   (ED)</v>
      </c>
      <c r="C197" s="114">
        <f>'Sampling Data'!B197</f>
        <v>96</v>
      </c>
      <c r="D197" s="114">
        <f>'Sampling Data'!C197</f>
        <v>20</v>
      </c>
      <c r="E197" s="115">
        <f>'Sampling Data'!D197</f>
        <v>8</v>
      </c>
      <c r="F197" s="115">
        <f>'Sampling Data'!E197</f>
        <v>0</v>
      </c>
      <c r="G197" s="115">
        <f>'Sampling Data'!F197</f>
        <v>0</v>
      </c>
      <c r="H197" s="115">
        <f>'Sampling Data'!G197</f>
        <v>0</v>
      </c>
      <c r="I197" s="115">
        <f>'Sampling Data'!H197</f>
        <v>0</v>
      </c>
      <c r="J197" s="115">
        <f>'Sampling Data'!I197</f>
        <v>0</v>
      </c>
      <c r="K197" s="115">
        <f>'Sampling Data'!J197</f>
        <v>0</v>
      </c>
      <c r="L197" s="115">
        <f>'Sampling Data'!K197</f>
        <v>0</v>
      </c>
      <c r="M197" s="115">
        <f>'Sampling Data'!L197</f>
        <v>0</v>
      </c>
      <c r="N197" s="115">
        <f>'Sampling Data'!M197</f>
        <v>0</v>
      </c>
      <c r="O197" s="114">
        <f>'Sampling Data'!N197</f>
        <v>0</v>
      </c>
      <c r="P197" s="114">
        <f>'Sampling Data'!O197</f>
        <v>1</v>
      </c>
      <c r="Q197" s="114">
        <f>'Sampling Data'!P197</f>
        <v>125</v>
      </c>
      <c r="R197" s="114">
        <f>'Sampling Data'!AJ197</f>
        <v>0</v>
      </c>
      <c r="S197" s="116"/>
      <c r="T197" s="116"/>
      <c r="U197" s="117"/>
      <c r="V197" s="117"/>
      <c r="W197" s="116"/>
      <c r="X197" s="116"/>
      <c r="Y197" s="116"/>
      <c r="Z197" s="116"/>
      <c r="AA197" s="15"/>
      <c r="AB197" s="15"/>
      <c r="AC197" s="15"/>
      <c r="AD197" s="15"/>
      <c r="AE197" s="118" t="str">
        <f>IF(NOT(ISBLANK(Audit[[#This Row],[Audit Winning Candidate]])), Audit[[#This Row],[Audit Winning Candidate]]-Audit[[#This Row],[Winning Candidate]], "")</f>
        <v/>
      </c>
      <c r="AF197" s="114" t="str">
        <f>IF(NOT(ISBLANK(Audit[[#This Row],[Audit Losing Candidate]])), Audit[[#This Row],[Audit Losing Candidate]]-Audit[[#This Row],[Losing Candidate]], "")</f>
        <v/>
      </c>
      <c r="AG197" s="114" t="str">
        <f>IF(NOT(ISBLANK(Audit[[#This Row],[Audit Candidate 3]])), Audit[[#This Row],[Audit Candidate 3]]-Audit[[#This Row],[Candidate 3]], "")</f>
        <v/>
      </c>
      <c r="AH197" s="114" t="str">
        <f>IF(NOT(ISBLANK(Audit[[#This Row],[Audit Candidate 4]])),Audit[[#This Row],[Audit Candidate 4]]-Audit[[#This Row],[Candidate 4]], "")</f>
        <v/>
      </c>
      <c r="AI197" s="114" t="str">
        <f>IF(NOT(ISBLANK(Audit[[#This Row],[Audit Candidate 5]])), Audit[[#This Row],[Audit Candidate 5]]-Audit[[#This Row],[Candidate 5]], "")</f>
        <v/>
      </c>
      <c r="AJ197" s="114" t="str">
        <f>IF(NOT(ISBLANK(Audit[[#This Row],[Audit Candidate 6]])), Audit[[#This Row],[Audit Candidate 6]]-Audit[[#This Row],[Candidate 6]], "")</f>
        <v/>
      </c>
      <c r="AK197" s="114" t="str">
        <f>IF(NOT(ISBLANK(Audit[[#This Row],[Audit Candidate 7]])), Audit[[#This Row],[Audit Candidate 7]]-Audit[[#This Row],[Candidate 7]], "")</f>
        <v/>
      </c>
      <c r="AL197" s="114" t="str">
        <f>IF(NOT(ISBLANK(Audit[[#This Row],[Audit Candidate 8]])), Audit[[#This Row],[Audit Candidate 8]]-Audit[[#This Row],[Candidate 8]], "")</f>
        <v/>
      </c>
      <c r="AM197" s="114" t="str">
        <f>IF(NOT(ISBLANK(Audit[[#This Row],[Audit Candidate 9]])), Audit[[#This Row],[Audit Candidate 9]]-Audit[[#This Row],[Candidate 9]], "")</f>
        <v/>
      </c>
      <c r="AN197" s="114" t="str">
        <f>IF(NOT(ISBLANK(Audit[[#This Row],[Audit Candidate 10]])), Audit[[#This Row],[Audit Candidate 10]]-Audit[[#This Row],[Candidate 10]], "")</f>
        <v/>
      </c>
      <c r="AO197" s="114" t="str">
        <f>IF(NOT(ISBLANK(Audit[[#This Row],[Audit Candidate 11]])), Audit[[#This Row],[Audit Candidate 11]]-Audit[[#This Row],[Candidate 11]], "")</f>
        <v/>
      </c>
      <c r="AP197" s="114" t="str">
        <f>IF(NOT(ISBLANK(Audit[[#This Row],[Audit Candidate 12]])), Audit[[#This Row],[Audit Candidate 12]]-Audit[[#This Row],[Candidate 12]], "")</f>
        <v/>
      </c>
      <c r="AQ197" s="114">
        <f>SUMIF(Audit[[#This Row],[Difference Winner]:[Difference Candidate 12]], "&gt;0")</f>
        <v>0</v>
      </c>
      <c r="AR197" s="114">
        <f>SUM(Audit[[#This Row],[Difference Winner]:[Difference Candidate 12]])</f>
        <v>0</v>
      </c>
      <c r="AS197" s="114">
        <f>IF(Audit[[#This Row],[Times p Drawn - With Replacement]]&gt;0, IF(Audit[[#This Row],[Canceled Differences]]&lt;0, Audit[[#This Row],[Max Differences]]+ABS(Audit[[#This Row],[Canceled Differences]]), Audit[[#This Row],[Max Differences]]), 0)</f>
        <v>0</v>
      </c>
      <c r="AT197" s="114">
        <f>'Sampling Data'!AB197</f>
        <v>1.2704633082611719E-2</v>
      </c>
      <c r="AU197" s="114">
        <f>IF(
      SUM(Audit[[#This Row],[Audit Losing Candidate]:[Audit Candidate 12]])
      &lt;&gt;0,
      (Audit[[#This Row],[Winning Candidate]]-Audit[[#This Row],[Losing Candidate]]-(Audit[[#This Row],[Audit Winning Candidate]]-Audit[[#This Row],[Audit Losing Candidate]]))/(Audit[[#Totals],[Winning Candidate]]-Audit[[#Totals],[Losing Candidate]]),
      0
)</f>
        <v>0</v>
      </c>
      <c r="AV1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7" s="114">
        <f>IF(Audit[[#This Row],[Max Relative Error (ep)]] = 0, 0, Audit[[#This Row],[Max Relative Error (ep)]]/Audit[[#This Row],[Error Bound (up) - Max. possible relative overstatement]])</f>
        <v>0</v>
      </c>
      <c r="BH1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7" s="114">
        <f t="shared" si="3"/>
        <v>1</v>
      </c>
      <c r="BJ197" s="114">
        <f>PRODUCT($BI$5:BI197)</f>
        <v>0.20973752198051165</v>
      </c>
      <c r="BK197" s="112">
        <f>1 - Audit[[#This Row],[K-M P Value]]</f>
        <v>0.79026247801948835</v>
      </c>
      <c r="BL197" s="114" t="str">
        <f>IF(Audit[[#This Row],[K-M P Value]]&gt;1-'General Info'!$B$12,"Continue", "Stop")</f>
        <v>Continue</v>
      </c>
      <c r="BM197" s="113" t="b">
        <f>IF(Audit[[#This Row],[Status - Continue or stop audit]] = "Continue", TRUE, IF(BL196 = "Continue", TRUE, FALSE))</f>
        <v>1</v>
      </c>
      <c r="BN197" s="113"/>
    </row>
    <row r="198" spans="1:66" ht="15" hidden="1" customHeight="1" x14ac:dyDescent="0.35">
      <c r="A198" s="114" t="str">
        <f>'Sampling Data'!AI198</f>
        <v/>
      </c>
      <c r="B198" s="114" t="str">
        <f>'Sampling Data'!A198</f>
        <v>0104 CIN 1-D   (ED)</v>
      </c>
      <c r="C198" s="114">
        <f>'Sampling Data'!B198</f>
        <v>71</v>
      </c>
      <c r="D198" s="114">
        <f>'Sampling Data'!C198</f>
        <v>12</v>
      </c>
      <c r="E198" s="115">
        <f>'Sampling Data'!D198</f>
        <v>4</v>
      </c>
      <c r="F198" s="115">
        <f>'Sampling Data'!E198</f>
        <v>0</v>
      </c>
      <c r="G198" s="115">
        <f>'Sampling Data'!F198</f>
        <v>0</v>
      </c>
      <c r="H198" s="115">
        <f>'Sampling Data'!G198</f>
        <v>0</v>
      </c>
      <c r="I198" s="115">
        <f>'Sampling Data'!H198</f>
        <v>0</v>
      </c>
      <c r="J198" s="115">
        <f>'Sampling Data'!I198</f>
        <v>0</v>
      </c>
      <c r="K198" s="115">
        <f>'Sampling Data'!J198</f>
        <v>0</v>
      </c>
      <c r="L198" s="115">
        <f>'Sampling Data'!K198</f>
        <v>0</v>
      </c>
      <c r="M198" s="115">
        <f>'Sampling Data'!L198</f>
        <v>0</v>
      </c>
      <c r="N198" s="115">
        <f>'Sampling Data'!M198</f>
        <v>0</v>
      </c>
      <c r="O198" s="114">
        <f>'Sampling Data'!N198</f>
        <v>0</v>
      </c>
      <c r="P198" s="114">
        <f>'Sampling Data'!O198</f>
        <v>0</v>
      </c>
      <c r="Q198" s="114">
        <f>'Sampling Data'!P198</f>
        <v>87</v>
      </c>
      <c r="R198" s="114">
        <f>'Sampling Data'!AJ198</f>
        <v>0</v>
      </c>
      <c r="S198" s="116"/>
      <c r="T198" s="116"/>
      <c r="U198" s="117"/>
      <c r="V198" s="117"/>
      <c r="W198" s="116"/>
      <c r="X198" s="116"/>
      <c r="Y198" s="116"/>
      <c r="Z198" s="116"/>
      <c r="AA198" s="15"/>
      <c r="AB198" s="15"/>
      <c r="AC198" s="15"/>
      <c r="AD198" s="15"/>
      <c r="AE198" s="118" t="str">
        <f>IF(NOT(ISBLANK(Audit[[#This Row],[Audit Winning Candidate]])), Audit[[#This Row],[Audit Winning Candidate]]-Audit[[#This Row],[Winning Candidate]], "")</f>
        <v/>
      </c>
      <c r="AF198" s="114" t="str">
        <f>IF(NOT(ISBLANK(Audit[[#This Row],[Audit Losing Candidate]])), Audit[[#This Row],[Audit Losing Candidate]]-Audit[[#This Row],[Losing Candidate]], "")</f>
        <v/>
      </c>
      <c r="AG198" s="114" t="str">
        <f>IF(NOT(ISBLANK(Audit[[#This Row],[Audit Candidate 3]])), Audit[[#This Row],[Audit Candidate 3]]-Audit[[#This Row],[Candidate 3]], "")</f>
        <v/>
      </c>
      <c r="AH198" s="114" t="str">
        <f>IF(NOT(ISBLANK(Audit[[#This Row],[Audit Candidate 4]])),Audit[[#This Row],[Audit Candidate 4]]-Audit[[#This Row],[Candidate 4]], "")</f>
        <v/>
      </c>
      <c r="AI198" s="114" t="str">
        <f>IF(NOT(ISBLANK(Audit[[#This Row],[Audit Candidate 5]])), Audit[[#This Row],[Audit Candidate 5]]-Audit[[#This Row],[Candidate 5]], "")</f>
        <v/>
      </c>
      <c r="AJ198" s="114" t="str">
        <f>IF(NOT(ISBLANK(Audit[[#This Row],[Audit Candidate 6]])), Audit[[#This Row],[Audit Candidate 6]]-Audit[[#This Row],[Candidate 6]], "")</f>
        <v/>
      </c>
      <c r="AK198" s="114" t="str">
        <f>IF(NOT(ISBLANK(Audit[[#This Row],[Audit Candidate 7]])), Audit[[#This Row],[Audit Candidate 7]]-Audit[[#This Row],[Candidate 7]], "")</f>
        <v/>
      </c>
      <c r="AL198" s="114" t="str">
        <f>IF(NOT(ISBLANK(Audit[[#This Row],[Audit Candidate 8]])), Audit[[#This Row],[Audit Candidate 8]]-Audit[[#This Row],[Candidate 8]], "")</f>
        <v/>
      </c>
      <c r="AM198" s="114" t="str">
        <f>IF(NOT(ISBLANK(Audit[[#This Row],[Audit Candidate 9]])), Audit[[#This Row],[Audit Candidate 9]]-Audit[[#This Row],[Candidate 9]], "")</f>
        <v/>
      </c>
      <c r="AN198" s="114" t="str">
        <f>IF(NOT(ISBLANK(Audit[[#This Row],[Audit Candidate 10]])), Audit[[#This Row],[Audit Candidate 10]]-Audit[[#This Row],[Candidate 10]], "")</f>
        <v/>
      </c>
      <c r="AO198" s="114" t="str">
        <f>IF(NOT(ISBLANK(Audit[[#This Row],[Audit Candidate 11]])), Audit[[#This Row],[Audit Candidate 11]]-Audit[[#This Row],[Candidate 11]], "")</f>
        <v/>
      </c>
      <c r="AP198" s="114" t="str">
        <f>IF(NOT(ISBLANK(Audit[[#This Row],[Audit Candidate 12]])), Audit[[#This Row],[Audit Candidate 12]]-Audit[[#This Row],[Candidate 12]], "")</f>
        <v/>
      </c>
      <c r="AQ198" s="114">
        <f>SUMIF(Audit[[#This Row],[Difference Winner]:[Difference Candidate 12]], "&gt;0")</f>
        <v>0</v>
      </c>
      <c r="AR198" s="114">
        <f>SUM(Audit[[#This Row],[Difference Winner]:[Difference Candidate 12]])</f>
        <v>0</v>
      </c>
      <c r="AS198" s="114">
        <f>IF(Audit[[#This Row],[Times p Drawn - With Replacement]]&gt;0, IF(Audit[[#This Row],[Canceled Differences]]&lt;0, Audit[[#This Row],[Max Differences]]+ABS(Audit[[#This Row],[Canceled Differences]]), Audit[[#This Row],[Max Differences]]), 0)</f>
        <v>0</v>
      </c>
      <c r="AT198" s="114">
        <f>'Sampling Data'!AB198</f>
        <v>9.2282409455786609E-3</v>
      </c>
      <c r="AU198" s="114">
        <f>IF(
      SUM(Audit[[#This Row],[Audit Losing Candidate]:[Audit Candidate 12]])
      &lt;&gt;0,
      (Audit[[#This Row],[Winning Candidate]]-Audit[[#This Row],[Losing Candidate]]-(Audit[[#This Row],[Audit Winning Candidate]]-Audit[[#This Row],[Audit Losing Candidate]]))/(Audit[[#Totals],[Winning Candidate]]-Audit[[#Totals],[Losing Candidate]]),
      0
)</f>
        <v>0</v>
      </c>
      <c r="AV1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8" s="114">
        <f>IF(Audit[[#This Row],[Max Relative Error (ep)]] = 0, 0, Audit[[#This Row],[Max Relative Error (ep)]]/Audit[[#This Row],[Error Bound (up) - Max. possible relative overstatement]])</f>
        <v>0</v>
      </c>
      <c r="BH1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8" s="114">
        <f t="shared" si="3"/>
        <v>1</v>
      </c>
      <c r="BJ198" s="114">
        <f>PRODUCT($BI$5:BI198)</f>
        <v>0.20973752198051165</v>
      </c>
      <c r="BK198" s="112">
        <f>1 - Audit[[#This Row],[K-M P Value]]</f>
        <v>0.79026247801948835</v>
      </c>
      <c r="BL198" s="114" t="str">
        <f>IF(Audit[[#This Row],[K-M P Value]]&gt;1-'General Info'!$B$12,"Continue", "Stop")</f>
        <v>Continue</v>
      </c>
      <c r="BM198" s="113" t="b">
        <f>IF(Audit[[#This Row],[Status - Continue or stop audit]] = "Continue", TRUE, IF(BL197 = "Continue", TRUE, FALSE))</f>
        <v>1</v>
      </c>
      <c r="BN198" s="113"/>
    </row>
    <row r="199" spans="1:66" ht="15" hidden="1" customHeight="1" x14ac:dyDescent="0.35">
      <c r="A199" s="114" t="str">
        <f>'Sampling Data'!AI199</f>
        <v/>
      </c>
      <c r="B199" s="114" t="str">
        <f>'Sampling Data'!A199</f>
        <v>0105 CIN 1-E   (ED)</v>
      </c>
      <c r="C199" s="114">
        <f>'Sampling Data'!B199</f>
        <v>81</v>
      </c>
      <c r="D199" s="114">
        <f>'Sampling Data'!C199</f>
        <v>19</v>
      </c>
      <c r="E199" s="115">
        <f>'Sampling Data'!D199</f>
        <v>7</v>
      </c>
      <c r="F199" s="115">
        <f>'Sampling Data'!E199</f>
        <v>0</v>
      </c>
      <c r="G199" s="115">
        <f>'Sampling Data'!F199</f>
        <v>0</v>
      </c>
      <c r="H199" s="115">
        <f>'Sampling Data'!G199</f>
        <v>0</v>
      </c>
      <c r="I199" s="115">
        <f>'Sampling Data'!H199</f>
        <v>0</v>
      </c>
      <c r="J199" s="115">
        <f>'Sampling Data'!I199</f>
        <v>0</v>
      </c>
      <c r="K199" s="115">
        <f>'Sampling Data'!J199</f>
        <v>0</v>
      </c>
      <c r="L199" s="115">
        <f>'Sampling Data'!K199</f>
        <v>0</v>
      </c>
      <c r="M199" s="115">
        <f>'Sampling Data'!L199</f>
        <v>0</v>
      </c>
      <c r="N199" s="115">
        <f>'Sampling Data'!M199</f>
        <v>0</v>
      </c>
      <c r="O199" s="114">
        <f>'Sampling Data'!N199</f>
        <v>0</v>
      </c>
      <c r="P199" s="114">
        <f>'Sampling Data'!O199</f>
        <v>0</v>
      </c>
      <c r="Q199" s="114">
        <f>'Sampling Data'!P199</f>
        <v>107</v>
      </c>
      <c r="R199" s="114">
        <f>'Sampling Data'!AJ199</f>
        <v>0</v>
      </c>
      <c r="S199" s="116"/>
      <c r="T199" s="116"/>
      <c r="U199" s="117"/>
      <c r="V199" s="117"/>
      <c r="W199" s="116"/>
      <c r="X199" s="116"/>
      <c r="Y199" s="116"/>
      <c r="Z199" s="116"/>
      <c r="AA199" s="15"/>
      <c r="AB199" s="15"/>
      <c r="AC199" s="15"/>
      <c r="AD199" s="15"/>
      <c r="AE199" s="118" t="str">
        <f>IF(NOT(ISBLANK(Audit[[#This Row],[Audit Winning Candidate]])), Audit[[#This Row],[Audit Winning Candidate]]-Audit[[#This Row],[Winning Candidate]], "")</f>
        <v/>
      </c>
      <c r="AF199" s="114" t="str">
        <f>IF(NOT(ISBLANK(Audit[[#This Row],[Audit Losing Candidate]])), Audit[[#This Row],[Audit Losing Candidate]]-Audit[[#This Row],[Losing Candidate]], "")</f>
        <v/>
      </c>
      <c r="AG199" s="114" t="str">
        <f>IF(NOT(ISBLANK(Audit[[#This Row],[Audit Candidate 3]])), Audit[[#This Row],[Audit Candidate 3]]-Audit[[#This Row],[Candidate 3]], "")</f>
        <v/>
      </c>
      <c r="AH199" s="114" t="str">
        <f>IF(NOT(ISBLANK(Audit[[#This Row],[Audit Candidate 4]])),Audit[[#This Row],[Audit Candidate 4]]-Audit[[#This Row],[Candidate 4]], "")</f>
        <v/>
      </c>
      <c r="AI199" s="114" t="str">
        <f>IF(NOT(ISBLANK(Audit[[#This Row],[Audit Candidate 5]])), Audit[[#This Row],[Audit Candidate 5]]-Audit[[#This Row],[Candidate 5]], "")</f>
        <v/>
      </c>
      <c r="AJ199" s="114" t="str">
        <f>IF(NOT(ISBLANK(Audit[[#This Row],[Audit Candidate 6]])), Audit[[#This Row],[Audit Candidate 6]]-Audit[[#This Row],[Candidate 6]], "")</f>
        <v/>
      </c>
      <c r="AK199" s="114" t="str">
        <f>IF(NOT(ISBLANK(Audit[[#This Row],[Audit Candidate 7]])), Audit[[#This Row],[Audit Candidate 7]]-Audit[[#This Row],[Candidate 7]], "")</f>
        <v/>
      </c>
      <c r="AL199" s="114" t="str">
        <f>IF(NOT(ISBLANK(Audit[[#This Row],[Audit Candidate 8]])), Audit[[#This Row],[Audit Candidate 8]]-Audit[[#This Row],[Candidate 8]], "")</f>
        <v/>
      </c>
      <c r="AM199" s="114" t="str">
        <f>IF(NOT(ISBLANK(Audit[[#This Row],[Audit Candidate 9]])), Audit[[#This Row],[Audit Candidate 9]]-Audit[[#This Row],[Candidate 9]], "")</f>
        <v/>
      </c>
      <c r="AN199" s="114" t="str">
        <f>IF(NOT(ISBLANK(Audit[[#This Row],[Audit Candidate 10]])), Audit[[#This Row],[Audit Candidate 10]]-Audit[[#This Row],[Candidate 10]], "")</f>
        <v/>
      </c>
      <c r="AO199" s="114" t="str">
        <f>IF(NOT(ISBLANK(Audit[[#This Row],[Audit Candidate 11]])), Audit[[#This Row],[Audit Candidate 11]]-Audit[[#This Row],[Candidate 11]], "")</f>
        <v/>
      </c>
      <c r="AP199" s="114" t="str">
        <f>IF(NOT(ISBLANK(Audit[[#This Row],[Audit Candidate 12]])), Audit[[#This Row],[Audit Candidate 12]]-Audit[[#This Row],[Candidate 12]], "")</f>
        <v/>
      </c>
      <c r="AQ199" s="114">
        <f>SUMIF(Audit[[#This Row],[Difference Winner]:[Difference Candidate 12]], "&gt;0")</f>
        <v>0</v>
      </c>
      <c r="AR199" s="114">
        <f>SUM(Audit[[#This Row],[Difference Winner]:[Difference Candidate 12]])</f>
        <v>0</v>
      </c>
      <c r="AS199" s="114">
        <f>IF(Audit[[#This Row],[Times p Drawn - With Replacement]]&gt;0, IF(Audit[[#This Row],[Canceled Differences]]&lt;0, Audit[[#This Row],[Max Differences]]+ABS(Audit[[#This Row],[Canceled Differences]]), Audit[[#This Row],[Max Differences]]), 0)</f>
        <v>0</v>
      </c>
      <c r="AT199" s="114">
        <f>'Sampling Data'!AB199</f>
        <v>1.0682004930156122E-2</v>
      </c>
      <c r="AU199" s="114">
        <f>IF(
      SUM(Audit[[#This Row],[Audit Losing Candidate]:[Audit Candidate 12]])
      &lt;&gt;0,
      (Audit[[#This Row],[Winning Candidate]]-Audit[[#This Row],[Losing Candidate]]-(Audit[[#This Row],[Audit Winning Candidate]]-Audit[[#This Row],[Audit Losing Candidate]]))/(Audit[[#Totals],[Winning Candidate]]-Audit[[#Totals],[Losing Candidate]]),
      0
)</f>
        <v>0</v>
      </c>
      <c r="AV1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9" s="114">
        <f>IF(Audit[[#This Row],[Max Relative Error (ep)]] = 0, 0, Audit[[#This Row],[Max Relative Error (ep)]]/Audit[[#This Row],[Error Bound (up) - Max. possible relative overstatement]])</f>
        <v>0</v>
      </c>
      <c r="BH1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199" s="114">
        <f t="shared" si="3"/>
        <v>1</v>
      </c>
      <c r="BJ199" s="114">
        <f>PRODUCT($BI$5:BI199)</f>
        <v>0.20973752198051165</v>
      </c>
      <c r="BK199" s="112">
        <f>1 - Audit[[#This Row],[K-M P Value]]</f>
        <v>0.79026247801948835</v>
      </c>
      <c r="BL199" s="114" t="str">
        <f>IF(Audit[[#This Row],[K-M P Value]]&gt;1-'General Info'!$B$12,"Continue", "Stop")</f>
        <v>Continue</v>
      </c>
      <c r="BM199" s="113" t="b">
        <f>IF(Audit[[#This Row],[Status - Continue or stop audit]] = "Continue", TRUE, IF(BL198 = "Continue", TRUE, FALSE))</f>
        <v>1</v>
      </c>
      <c r="BN199" s="113"/>
    </row>
    <row r="200" spans="1:66" ht="15" hidden="1" customHeight="1" x14ac:dyDescent="0.35">
      <c r="A200" s="114" t="str">
        <f>'Sampling Data'!AI200</f>
        <v/>
      </c>
      <c r="B200" s="114" t="str">
        <f>'Sampling Data'!A200</f>
        <v>0106 CIN 1-F   (ED)</v>
      </c>
      <c r="C200" s="114">
        <f>'Sampling Data'!B200</f>
        <v>114</v>
      </c>
      <c r="D200" s="114">
        <f>'Sampling Data'!C200</f>
        <v>35</v>
      </c>
      <c r="E200" s="115">
        <f>'Sampling Data'!D200</f>
        <v>9</v>
      </c>
      <c r="F200" s="115">
        <f>'Sampling Data'!E200</f>
        <v>0</v>
      </c>
      <c r="G200" s="115">
        <f>'Sampling Data'!F200</f>
        <v>0</v>
      </c>
      <c r="H200" s="115">
        <f>'Sampling Data'!G200</f>
        <v>0</v>
      </c>
      <c r="I200" s="115">
        <f>'Sampling Data'!H200</f>
        <v>0</v>
      </c>
      <c r="J200" s="115">
        <f>'Sampling Data'!I200</f>
        <v>0</v>
      </c>
      <c r="K200" s="115">
        <f>'Sampling Data'!J200</f>
        <v>0</v>
      </c>
      <c r="L200" s="115">
        <f>'Sampling Data'!K200</f>
        <v>0</v>
      </c>
      <c r="M200" s="115">
        <f>'Sampling Data'!L200</f>
        <v>0</v>
      </c>
      <c r="N200" s="115">
        <f>'Sampling Data'!M200</f>
        <v>0</v>
      </c>
      <c r="O200" s="114">
        <f>'Sampling Data'!N200</f>
        <v>0</v>
      </c>
      <c r="P200" s="114">
        <f>'Sampling Data'!O200</f>
        <v>0</v>
      </c>
      <c r="Q200" s="114">
        <f>'Sampling Data'!P200</f>
        <v>158</v>
      </c>
      <c r="R200" s="114">
        <f>'Sampling Data'!AJ200</f>
        <v>0</v>
      </c>
      <c r="S200" s="116"/>
      <c r="T200" s="116"/>
      <c r="U200" s="117"/>
      <c r="V200" s="117"/>
      <c r="W200" s="116"/>
      <c r="X200" s="116"/>
      <c r="Y200" s="116"/>
      <c r="Z200" s="116"/>
      <c r="AA200" s="15"/>
      <c r="AB200" s="15"/>
      <c r="AC200" s="15"/>
      <c r="AD200" s="15"/>
      <c r="AE200" s="118" t="str">
        <f>IF(NOT(ISBLANK(Audit[[#This Row],[Audit Winning Candidate]])), Audit[[#This Row],[Audit Winning Candidate]]-Audit[[#This Row],[Winning Candidate]], "")</f>
        <v/>
      </c>
      <c r="AF200" s="114" t="str">
        <f>IF(NOT(ISBLANK(Audit[[#This Row],[Audit Losing Candidate]])), Audit[[#This Row],[Audit Losing Candidate]]-Audit[[#This Row],[Losing Candidate]], "")</f>
        <v/>
      </c>
      <c r="AG200" s="114" t="str">
        <f>IF(NOT(ISBLANK(Audit[[#This Row],[Audit Candidate 3]])), Audit[[#This Row],[Audit Candidate 3]]-Audit[[#This Row],[Candidate 3]], "")</f>
        <v/>
      </c>
      <c r="AH200" s="114" t="str">
        <f>IF(NOT(ISBLANK(Audit[[#This Row],[Audit Candidate 4]])),Audit[[#This Row],[Audit Candidate 4]]-Audit[[#This Row],[Candidate 4]], "")</f>
        <v/>
      </c>
      <c r="AI200" s="114" t="str">
        <f>IF(NOT(ISBLANK(Audit[[#This Row],[Audit Candidate 5]])), Audit[[#This Row],[Audit Candidate 5]]-Audit[[#This Row],[Candidate 5]], "")</f>
        <v/>
      </c>
      <c r="AJ200" s="114" t="str">
        <f>IF(NOT(ISBLANK(Audit[[#This Row],[Audit Candidate 6]])), Audit[[#This Row],[Audit Candidate 6]]-Audit[[#This Row],[Candidate 6]], "")</f>
        <v/>
      </c>
      <c r="AK200" s="114" t="str">
        <f>IF(NOT(ISBLANK(Audit[[#This Row],[Audit Candidate 7]])), Audit[[#This Row],[Audit Candidate 7]]-Audit[[#This Row],[Candidate 7]], "")</f>
        <v/>
      </c>
      <c r="AL200" s="114" t="str">
        <f>IF(NOT(ISBLANK(Audit[[#This Row],[Audit Candidate 8]])), Audit[[#This Row],[Audit Candidate 8]]-Audit[[#This Row],[Candidate 8]], "")</f>
        <v/>
      </c>
      <c r="AM200" s="114" t="str">
        <f>IF(NOT(ISBLANK(Audit[[#This Row],[Audit Candidate 9]])), Audit[[#This Row],[Audit Candidate 9]]-Audit[[#This Row],[Candidate 9]], "")</f>
        <v/>
      </c>
      <c r="AN200" s="114" t="str">
        <f>IF(NOT(ISBLANK(Audit[[#This Row],[Audit Candidate 10]])), Audit[[#This Row],[Audit Candidate 10]]-Audit[[#This Row],[Candidate 10]], "")</f>
        <v/>
      </c>
      <c r="AO200" s="114" t="str">
        <f>IF(NOT(ISBLANK(Audit[[#This Row],[Audit Candidate 11]])), Audit[[#This Row],[Audit Candidate 11]]-Audit[[#This Row],[Candidate 11]], "")</f>
        <v/>
      </c>
      <c r="AP200" s="114" t="str">
        <f>IF(NOT(ISBLANK(Audit[[#This Row],[Audit Candidate 12]])), Audit[[#This Row],[Audit Candidate 12]]-Audit[[#This Row],[Candidate 12]], "")</f>
        <v/>
      </c>
      <c r="AQ200" s="114">
        <f>SUMIF(Audit[[#This Row],[Difference Winner]:[Difference Candidate 12]], "&gt;0")</f>
        <v>0</v>
      </c>
      <c r="AR200" s="114">
        <f>SUM(Audit[[#This Row],[Difference Winner]:[Difference Candidate 12]])</f>
        <v>0</v>
      </c>
      <c r="AS200" s="114">
        <f>IF(Audit[[#This Row],[Times p Drawn - With Replacement]]&gt;0, IF(Audit[[#This Row],[Canceled Differences]]&lt;0, Audit[[#This Row],[Max Differences]]+ABS(Audit[[#This Row],[Canceled Differences]]), Audit[[#This Row],[Max Differences]]), 0)</f>
        <v>0</v>
      </c>
      <c r="AT200" s="114">
        <f>'Sampling Data'!AB200</f>
        <v>1.4980089754124265E-2</v>
      </c>
      <c r="AU200" s="114">
        <f>IF(
      SUM(Audit[[#This Row],[Audit Losing Candidate]:[Audit Candidate 12]])
      &lt;&gt;0,
      (Audit[[#This Row],[Winning Candidate]]-Audit[[#This Row],[Losing Candidate]]-(Audit[[#This Row],[Audit Winning Candidate]]-Audit[[#This Row],[Audit Losing Candidate]]))/(Audit[[#Totals],[Winning Candidate]]-Audit[[#Totals],[Losing Candidate]]),
      0
)</f>
        <v>0</v>
      </c>
      <c r="AV20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0" s="114">
        <f>IF(Audit[[#This Row],[Max Relative Error (ep)]] = 0, 0, Audit[[#This Row],[Max Relative Error (ep)]]/Audit[[#This Row],[Error Bound (up) - Max. possible relative overstatement]])</f>
        <v>0</v>
      </c>
      <c r="BH2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0" s="114">
        <f t="shared" si="3"/>
        <v>1</v>
      </c>
      <c r="BJ200" s="114">
        <f>PRODUCT($BI$5:BI200)</f>
        <v>0.20973752198051165</v>
      </c>
      <c r="BK200" s="112">
        <f>1 - Audit[[#This Row],[K-M P Value]]</f>
        <v>0.79026247801948835</v>
      </c>
      <c r="BL200" s="114" t="str">
        <f>IF(Audit[[#This Row],[K-M P Value]]&gt;1-'General Info'!$B$12,"Continue", "Stop")</f>
        <v>Continue</v>
      </c>
      <c r="BM200" s="113" t="b">
        <f>IF(Audit[[#This Row],[Status - Continue or stop audit]] = "Continue", TRUE, IF(BL199 = "Continue", TRUE, FALSE))</f>
        <v>1</v>
      </c>
      <c r="BN200" s="113"/>
    </row>
    <row r="201" spans="1:66" ht="15" hidden="1" customHeight="1" x14ac:dyDescent="0.35">
      <c r="A201" s="114" t="str">
        <f>'Sampling Data'!AI201</f>
        <v/>
      </c>
      <c r="B201" s="114" t="str">
        <f>'Sampling Data'!A201</f>
        <v>0107 CIN 1-G   (ED)</v>
      </c>
      <c r="C201" s="114">
        <f>'Sampling Data'!B201</f>
        <v>88</v>
      </c>
      <c r="D201" s="114">
        <f>'Sampling Data'!C201</f>
        <v>24</v>
      </c>
      <c r="E201" s="115">
        <f>'Sampling Data'!D201</f>
        <v>5</v>
      </c>
      <c r="F201" s="115">
        <f>'Sampling Data'!E201</f>
        <v>0</v>
      </c>
      <c r="G201" s="115">
        <f>'Sampling Data'!F201</f>
        <v>0</v>
      </c>
      <c r="H201" s="115">
        <f>'Sampling Data'!G201</f>
        <v>0</v>
      </c>
      <c r="I201" s="115">
        <f>'Sampling Data'!H201</f>
        <v>0</v>
      </c>
      <c r="J201" s="115">
        <f>'Sampling Data'!I201</f>
        <v>0</v>
      </c>
      <c r="K201" s="115">
        <f>'Sampling Data'!J201</f>
        <v>0</v>
      </c>
      <c r="L201" s="115">
        <f>'Sampling Data'!K201</f>
        <v>0</v>
      </c>
      <c r="M201" s="115">
        <f>'Sampling Data'!L201</f>
        <v>0</v>
      </c>
      <c r="N201" s="115">
        <f>'Sampling Data'!M201</f>
        <v>0</v>
      </c>
      <c r="O201" s="114">
        <f>'Sampling Data'!N201</f>
        <v>0</v>
      </c>
      <c r="P201" s="114">
        <f>'Sampling Data'!O201</f>
        <v>2</v>
      </c>
      <c r="Q201" s="114">
        <f>'Sampling Data'!P201</f>
        <v>119</v>
      </c>
      <c r="R201" s="114">
        <f>'Sampling Data'!AJ201</f>
        <v>0</v>
      </c>
      <c r="S201" s="116"/>
      <c r="T201" s="116"/>
      <c r="U201" s="117"/>
      <c r="V201" s="117"/>
      <c r="W201" s="116"/>
      <c r="X201" s="116"/>
      <c r="Y201" s="116"/>
      <c r="Z201" s="116"/>
      <c r="AA201" s="15"/>
      <c r="AB201" s="15"/>
      <c r="AC201" s="15"/>
      <c r="AD201" s="15"/>
      <c r="AE201" s="118" t="str">
        <f>IF(NOT(ISBLANK(Audit[[#This Row],[Audit Winning Candidate]])), Audit[[#This Row],[Audit Winning Candidate]]-Audit[[#This Row],[Winning Candidate]], "")</f>
        <v/>
      </c>
      <c r="AF201" s="114" t="str">
        <f>IF(NOT(ISBLANK(Audit[[#This Row],[Audit Losing Candidate]])), Audit[[#This Row],[Audit Losing Candidate]]-Audit[[#This Row],[Losing Candidate]], "")</f>
        <v/>
      </c>
      <c r="AG201" s="114" t="str">
        <f>IF(NOT(ISBLANK(Audit[[#This Row],[Audit Candidate 3]])), Audit[[#This Row],[Audit Candidate 3]]-Audit[[#This Row],[Candidate 3]], "")</f>
        <v/>
      </c>
      <c r="AH201" s="114" t="str">
        <f>IF(NOT(ISBLANK(Audit[[#This Row],[Audit Candidate 4]])),Audit[[#This Row],[Audit Candidate 4]]-Audit[[#This Row],[Candidate 4]], "")</f>
        <v/>
      </c>
      <c r="AI201" s="114" t="str">
        <f>IF(NOT(ISBLANK(Audit[[#This Row],[Audit Candidate 5]])), Audit[[#This Row],[Audit Candidate 5]]-Audit[[#This Row],[Candidate 5]], "")</f>
        <v/>
      </c>
      <c r="AJ201" s="114" t="str">
        <f>IF(NOT(ISBLANK(Audit[[#This Row],[Audit Candidate 6]])), Audit[[#This Row],[Audit Candidate 6]]-Audit[[#This Row],[Candidate 6]], "")</f>
        <v/>
      </c>
      <c r="AK201" s="114" t="str">
        <f>IF(NOT(ISBLANK(Audit[[#This Row],[Audit Candidate 7]])), Audit[[#This Row],[Audit Candidate 7]]-Audit[[#This Row],[Candidate 7]], "")</f>
        <v/>
      </c>
      <c r="AL201" s="114" t="str">
        <f>IF(NOT(ISBLANK(Audit[[#This Row],[Audit Candidate 8]])), Audit[[#This Row],[Audit Candidate 8]]-Audit[[#This Row],[Candidate 8]], "")</f>
        <v/>
      </c>
      <c r="AM201" s="114" t="str">
        <f>IF(NOT(ISBLANK(Audit[[#This Row],[Audit Candidate 9]])), Audit[[#This Row],[Audit Candidate 9]]-Audit[[#This Row],[Candidate 9]], "")</f>
        <v/>
      </c>
      <c r="AN201" s="114" t="str">
        <f>IF(NOT(ISBLANK(Audit[[#This Row],[Audit Candidate 10]])), Audit[[#This Row],[Audit Candidate 10]]-Audit[[#This Row],[Candidate 10]], "")</f>
        <v/>
      </c>
      <c r="AO201" s="114" t="str">
        <f>IF(NOT(ISBLANK(Audit[[#This Row],[Audit Candidate 11]])), Audit[[#This Row],[Audit Candidate 11]]-Audit[[#This Row],[Candidate 11]], "")</f>
        <v/>
      </c>
      <c r="AP201" s="114" t="str">
        <f>IF(NOT(ISBLANK(Audit[[#This Row],[Audit Candidate 12]])), Audit[[#This Row],[Audit Candidate 12]]-Audit[[#This Row],[Candidate 12]], "")</f>
        <v/>
      </c>
      <c r="AQ201" s="114">
        <f>SUMIF(Audit[[#This Row],[Difference Winner]:[Difference Candidate 12]], "&gt;0")</f>
        <v>0</v>
      </c>
      <c r="AR201" s="114">
        <f>SUM(Audit[[#This Row],[Difference Winner]:[Difference Candidate 12]])</f>
        <v>0</v>
      </c>
      <c r="AS201" s="114">
        <f>IF(Audit[[#This Row],[Times p Drawn - With Replacement]]&gt;0, IF(Audit[[#This Row],[Canceled Differences]]&lt;0, Audit[[#This Row],[Max Differences]]+ABS(Audit[[#This Row],[Canceled Differences]]), Audit[[#This Row],[Max Differences]]), 0)</f>
        <v>0</v>
      </c>
      <c r="AT201" s="114">
        <f>'Sampling Data'!AB201</f>
        <v>1.1566904746855445E-2</v>
      </c>
      <c r="AU201" s="114">
        <f>IF(
      SUM(Audit[[#This Row],[Audit Losing Candidate]:[Audit Candidate 12]])
      &lt;&gt;0,
      (Audit[[#This Row],[Winning Candidate]]-Audit[[#This Row],[Losing Candidate]]-(Audit[[#This Row],[Audit Winning Candidate]]-Audit[[#This Row],[Audit Losing Candidate]]))/(Audit[[#Totals],[Winning Candidate]]-Audit[[#Totals],[Losing Candidate]]),
      0
)</f>
        <v>0</v>
      </c>
      <c r="AV2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1" s="114">
        <f>IF(Audit[[#This Row],[Max Relative Error (ep)]] = 0, 0, Audit[[#This Row],[Max Relative Error (ep)]]/Audit[[#This Row],[Error Bound (up) - Max. possible relative overstatement]])</f>
        <v>0</v>
      </c>
      <c r="BH2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1" s="114">
        <f t="shared" si="3"/>
        <v>1</v>
      </c>
      <c r="BJ201" s="114">
        <f>PRODUCT($BI$5:BI201)</f>
        <v>0.20973752198051165</v>
      </c>
      <c r="BK201" s="112">
        <f>1 - Audit[[#This Row],[K-M P Value]]</f>
        <v>0.79026247801948835</v>
      </c>
      <c r="BL201" s="114" t="str">
        <f>IF(Audit[[#This Row],[K-M P Value]]&gt;1-'General Info'!$B$12,"Continue", "Stop")</f>
        <v>Continue</v>
      </c>
      <c r="BM201" s="113" t="b">
        <f>IF(Audit[[#This Row],[Status - Continue or stop audit]] = "Continue", TRUE, IF(BL200 = "Continue", TRUE, FALSE))</f>
        <v>1</v>
      </c>
      <c r="BN201" s="113"/>
    </row>
    <row r="202" spans="1:66" ht="15" hidden="1" customHeight="1" x14ac:dyDescent="0.35">
      <c r="A202" s="114" t="str">
        <f>'Sampling Data'!AI202</f>
        <v/>
      </c>
      <c r="B202" s="114" t="str">
        <f>'Sampling Data'!A202</f>
        <v>0108 CIN 1-H   (ED)</v>
      </c>
      <c r="C202" s="114">
        <f>'Sampling Data'!B202</f>
        <v>60</v>
      </c>
      <c r="D202" s="114">
        <f>'Sampling Data'!C202</f>
        <v>10</v>
      </c>
      <c r="E202" s="115">
        <f>'Sampling Data'!D202</f>
        <v>5</v>
      </c>
      <c r="F202" s="115">
        <f>'Sampling Data'!E202</f>
        <v>0</v>
      </c>
      <c r="G202" s="115">
        <f>'Sampling Data'!F202</f>
        <v>0</v>
      </c>
      <c r="H202" s="115">
        <f>'Sampling Data'!G202</f>
        <v>0</v>
      </c>
      <c r="I202" s="115">
        <f>'Sampling Data'!H202</f>
        <v>0</v>
      </c>
      <c r="J202" s="115">
        <f>'Sampling Data'!I202</f>
        <v>0</v>
      </c>
      <c r="K202" s="115">
        <f>'Sampling Data'!J202</f>
        <v>0</v>
      </c>
      <c r="L202" s="115">
        <f>'Sampling Data'!K202</f>
        <v>0</v>
      </c>
      <c r="M202" s="115">
        <f>'Sampling Data'!L202</f>
        <v>0</v>
      </c>
      <c r="N202" s="115">
        <f>'Sampling Data'!M202</f>
        <v>0</v>
      </c>
      <c r="O202" s="114">
        <f>'Sampling Data'!N202</f>
        <v>0</v>
      </c>
      <c r="P202" s="114">
        <f>'Sampling Data'!O202</f>
        <v>0</v>
      </c>
      <c r="Q202" s="114">
        <f>'Sampling Data'!P202</f>
        <v>75</v>
      </c>
      <c r="R202" s="114">
        <f>'Sampling Data'!AJ202</f>
        <v>0</v>
      </c>
      <c r="S202" s="116"/>
      <c r="T202" s="116"/>
      <c r="U202" s="117"/>
      <c r="V202" s="117"/>
      <c r="W202" s="116"/>
      <c r="X202" s="116"/>
      <c r="Y202" s="116"/>
      <c r="Z202" s="116"/>
      <c r="AA202" s="15"/>
      <c r="AB202" s="15"/>
      <c r="AC202" s="15"/>
      <c r="AD202" s="15"/>
      <c r="AE202" s="118" t="str">
        <f>IF(NOT(ISBLANK(Audit[[#This Row],[Audit Winning Candidate]])), Audit[[#This Row],[Audit Winning Candidate]]-Audit[[#This Row],[Winning Candidate]], "")</f>
        <v/>
      </c>
      <c r="AF202" s="114" t="str">
        <f>IF(NOT(ISBLANK(Audit[[#This Row],[Audit Losing Candidate]])), Audit[[#This Row],[Audit Losing Candidate]]-Audit[[#This Row],[Losing Candidate]], "")</f>
        <v/>
      </c>
      <c r="AG202" s="114" t="str">
        <f>IF(NOT(ISBLANK(Audit[[#This Row],[Audit Candidate 3]])), Audit[[#This Row],[Audit Candidate 3]]-Audit[[#This Row],[Candidate 3]], "")</f>
        <v/>
      </c>
      <c r="AH202" s="114" t="str">
        <f>IF(NOT(ISBLANK(Audit[[#This Row],[Audit Candidate 4]])),Audit[[#This Row],[Audit Candidate 4]]-Audit[[#This Row],[Candidate 4]], "")</f>
        <v/>
      </c>
      <c r="AI202" s="114" t="str">
        <f>IF(NOT(ISBLANK(Audit[[#This Row],[Audit Candidate 5]])), Audit[[#This Row],[Audit Candidate 5]]-Audit[[#This Row],[Candidate 5]], "")</f>
        <v/>
      </c>
      <c r="AJ202" s="114" t="str">
        <f>IF(NOT(ISBLANK(Audit[[#This Row],[Audit Candidate 6]])), Audit[[#This Row],[Audit Candidate 6]]-Audit[[#This Row],[Candidate 6]], "")</f>
        <v/>
      </c>
      <c r="AK202" s="114" t="str">
        <f>IF(NOT(ISBLANK(Audit[[#This Row],[Audit Candidate 7]])), Audit[[#This Row],[Audit Candidate 7]]-Audit[[#This Row],[Candidate 7]], "")</f>
        <v/>
      </c>
      <c r="AL202" s="114" t="str">
        <f>IF(NOT(ISBLANK(Audit[[#This Row],[Audit Candidate 8]])), Audit[[#This Row],[Audit Candidate 8]]-Audit[[#This Row],[Candidate 8]], "")</f>
        <v/>
      </c>
      <c r="AM202" s="114" t="str">
        <f>IF(NOT(ISBLANK(Audit[[#This Row],[Audit Candidate 9]])), Audit[[#This Row],[Audit Candidate 9]]-Audit[[#This Row],[Candidate 9]], "")</f>
        <v/>
      </c>
      <c r="AN202" s="114" t="str">
        <f>IF(NOT(ISBLANK(Audit[[#This Row],[Audit Candidate 10]])), Audit[[#This Row],[Audit Candidate 10]]-Audit[[#This Row],[Candidate 10]], "")</f>
        <v/>
      </c>
      <c r="AO202" s="114" t="str">
        <f>IF(NOT(ISBLANK(Audit[[#This Row],[Audit Candidate 11]])), Audit[[#This Row],[Audit Candidate 11]]-Audit[[#This Row],[Candidate 11]], "")</f>
        <v/>
      </c>
      <c r="AP202" s="114" t="str">
        <f>IF(NOT(ISBLANK(Audit[[#This Row],[Audit Candidate 12]])), Audit[[#This Row],[Audit Candidate 12]]-Audit[[#This Row],[Candidate 12]], "")</f>
        <v/>
      </c>
      <c r="AQ202" s="114">
        <f>SUMIF(Audit[[#This Row],[Difference Winner]:[Difference Candidate 12]], "&gt;0")</f>
        <v>0</v>
      </c>
      <c r="AR202" s="114">
        <f>SUM(Audit[[#This Row],[Difference Winner]:[Difference Candidate 12]])</f>
        <v>0</v>
      </c>
      <c r="AS202" s="114">
        <f>IF(Audit[[#This Row],[Times p Drawn - With Replacement]]&gt;0, IF(Audit[[#This Row],[Canceled Differences]]&lt;0, Audit[[#This Row],[Max Differences]]+ABS(Audit[[#This Row],[Canceled Differences]]), Audit[[#This Row],[Max Differences]]), 0)</f>
        <v>0</v>
      </c>
      <c r="AT202" s="114">
        <f>'Sampling Data'!AB202</f>
        <v>7.9008912205296763E-3</v>
      </c>
      <c r="AU202" s="114">
        <f>IF(
      SUM(Audit[[#This Row],[Audit Losing Candidate]:[Audit Candidate 12]])
      &lt;&gt;0,
      (Audit[[#This Row],[Winning Candidate]]-Audit[[#This Row],[Losing Candidate]]-(Audit[[#This Row],[Audit Winning Candidate]]-Audit[[#This Row],[Audit Losing Candidate]]))/(Audit[[#Totals],[Winning Candidate]]-Audit[[#Totals],[Losing Candidate]]),
      0
)</f>
        <v>0</v>
      </c>
      <c r="AV2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2" s="114">
        <f>IF(Audit[[#This Row],[Max Relative Error (ep)]] = 0, 0, Audit[[#This Row],[Max Relative Error (ep)]]/Audit[[#This Row],[Error Bound (up) - Max. possible relative overstatement]])</f>
        <v>0</v>
      </c>
      <c r="BH2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2" s="114">
        <f t="shared" si="3"/>
        <v>1</v>
      </c>
      <c r="BJ202" s="114">
        <f>PRODUCT($BI$5:BI202)</f>
        <v>0.20973752198051165</v>
      </c>
      <c r="BK202" s="112">
        <f>1 - Audit[[#This Row],[K-M P Value]]</f>
        <v>0.79026247801948835</v>
      </c>
      <c r="BL202" s="114" t="str">
        <f>IF(Audit[[#This Row],[K-M P Value]]&gt;1-'General Info'!$B$12,"Continue", "Stop")</f>
        <v>Continue</v>
      </c>
      <c r="BM202" s="113" t="b">
        <f>IF(Audit[[#This Row],[Status - Continue or stop audit]] = "Continue", TRUE, IF(BL201 = "Continue", TRUE, FALSE))</f>
        <v>1</v>
      </c>
      <c r="BN202" s="113"/>
    </row>
    <row r="203" spans="1:66" ht="15" hidden="1" customHeight="1" x14ac:dyDescent="0.35">
      <c r="A203" s="114" t="str">
        <f>'Sampling Data'!AI203</f>
        <v/>
      </c>
      <c r="B203" s="114" t="str">
        <f>'Sampling Data'!A203</f>
        <v>0109 CIN 1-I   (ED)</v>
      </c>
      <c r="C203" s="114">
        <f>'Sampling Data'!B203</f>
        <v>110</v>
      </c>
      <c r="D203" s="114">
        <f>'Sampling Data'!C203</f>
        <v>35</v>
      </c>
      <c r="E203" s="115">
        <f>'Sampling Data'!D203</f>
        <v>9</v>
      </c>
      <c r="F203" s="115">
        <f>'Sampling Data'!E203</f>
        <v>0</v>
      </c>
      <c r="G203" s="115">
        <f>'Sampling Data'!F203</f>
        <v>0</v>
      </c>
      <c r="H203" s="115">
        <f>'Sampling Data'!G203</f>
        <v>0</v>
      </c>
      <c r="I203" s="115">
        <f>'Sampling Data'!H203</f>
        <v>0</v>
      </c>
      <c r="J203" s="115">
        <f>'Sampling Data'!I203</f>
        <v>0</v>
      </c>
      <c r="K203" s="115">
        <f>'Sampling Data'!J203</f>
        <v>0</v>
      </c>
      <c r="L203" s="115">
        <f>'Sampling Data'!K203</f>
        <v>0</v>
      </c>
      <c r="M203" s="115">
        <f>'Sampling Data'!L203</f>
        <v>0</v>
      </c>
      <c r="N203" s="115">
        <f>'Sampling Data'!M203</f>
        <v>0</v>
      </c>
      <c r="O203" s="114">
        <f>'Sampling Data'!N203</f>
        <v>0</v>
      </c>
      <c r="P203" s="114">
        <f>'Sampling Data'!O203</f>
        <v>0</v>
      </c>
      <c r="Q203" s="114">
        <f>'Sampling Data'!P203</f>
        <v>154</v>
      </c>
      <c r="R203" s="114">
        <f>'Sampling Data'!AJ203</f>
        <v>0</v>
      </c>
      <c r="S203" s="116"/>
      <c r="T203" s="116"/>
      <c r="U203" s="117"/>
      <c r="V203" s="117"/>
      <c r="W203" s="116"/>
      <c r="X203" s="116"/>
      <c r="Y203" s="116"/>
      <c r="Z203" s="116"/>
      <c r="AA203" s="15"/>
      <c r="AB203" s="15"/>
      <c r="AC203" s="15"/>
      <c r="AD203" s="15"/>
      <c r="AE203" s="118" t="str">
        <f>IF(NOT(ISBLANK(Audit[[#This Row],[Audit Winning Candidate]])), Audit[[#This Row],[Audit Winning Candidate]]-Audit[[#This Row],[Winning Candidate]], "")</f>
        <v/>
      </c>
      <c r="AF203" s="114" t="str">
        <f>IF(NOT(ISBLANK(Audit[[#This Row],[Audit Losing Candidate]])), Audit[[#This Row],[Audit Losing Candidate]]-Audit[[#This Row],[Losing Candidate]], "")</f>
        <v/>
      </c>
      <c r="AG203" s="114" t="str">
        <f>IF(NOT(ISBLANK(Audit[[#This Row],[Audit Candidate 3]])), Audit[[#This Row],[Audit Candidate 3]]-Audit[[#This Row],[Candidate 3]], "")</f>
        <v/>
      </c>
      <c r="AH203" s="114" t="str">
        <f>IF(NOT(ISBLANK(Audit[[#This Row],[Audit Candidate 4]])),Audit[[#This Row],[Audit Candidate 4]]-Audit[[#This Row],[Candidate 4]], "")</f>
        <v/>
      </c>
      <c r="AI203" s="114" t="str">
        <f>IF(NOT(ISBLANK(Audit[[#This Row],[Audit Candidate 5]])), Audit[[#This Row],[Audit Candidate 5]]-Audit[[#This Row],[Candidate 5]], "")</f>
        <v/>
      </c>
      <c r="AJ203" s="114" t="str">
        <f>IF(NOT(ISBLANK(Audit[[#This Row],[Audit Candidate 6]])), Audit[[#This Row],[Audit Candidate 6]]-Audit[[#This Row],[Candidate 6]], "")</f>
        <v/>
      </c>
      <c r="AK203" s="114" t="str">
        <f>IF(NOT(ISBLANK(Audit[[#This Row],[Audit Candidate 7]])), Audit[[#This Row],[Audit Candidate 7]]-Audit[[#This Row],[Candidate 7]], "")</f>
        <v/>
      </c>
      <c r="AL203" s="114" t="str">
        <f>IF(NOT(ISBLANK(Audit[[#This Row],[Audit Candidate 8]])), Audit[[#This Row],[Audit Candidate 8]]-Audit[[#This Row],[Candidate 8]], "")</f>
        <v/>
      </c>
      <c r="AM203" s="114" t="str">
        <f>IF(NOT(ISBLANK(Audit[[#This Row],[Audit Candidate 9]])), Audit[[#This Row],[Audit Candidate 9]]-Audit[[#This Row],[Candidate 9]], "")</f>
        <v/>
      </c>
      <c r="AN203" s="114" t="str">
        <f>IF(NOT(ISBLANK(Audit[[#This Row],[Audit Candidate 10]])), Audit[[#This Row],[Audit Candidate 10]]-Audit[[#This Row],[Candidate 10]], "")</f>
        <v/>
      </c>
      <c r="AO203" s="114" t="str">
        <f>IF(NOT(ISBLANK(Audit[[#This Row],[Audit Candidate 11]])), Audit[[#This Row],[Audit Candidate 11]]-Audit[[#This Row],[Candidate 11]], "")</f>
        <v/>
      </c>
      <c r="AP203" s="114" t="str">
        <f>IF(NOT(ISBLANK(Audit[[#This Row],[Audit Candidate 12]])), Audit[[#This Row],[Audit Candidate 12]]-Audit[[#This Row],[Candidate 12]], "")</f>
        <v/>
      </c>
      <c r="AQ203" s="114">
        <f>SUMIF(Audit[[#This Row],[Difference Winner]:[Difference Candidate 12]], "&gt;0")</f>
        <v>0</v>
      </c>
      <c r="AR203" s="114">
        <f>SUM(Audit[[#This Row],[Difference Winner]:[Difference Candidate 12]])</f>
        <v>0</v>
      </c>
      <c r="AS203" s="114">
        <f>IF(Audit[[#This Row],[Times p Drawn - With Replacement]]&gt;0, IF(Audit[[#This Row],[Canceled Differences]]&lt;0, Audit[[#This Row],[Max Differences]]+ABS(Audit[[#This Row],[Canceled Differences]]), Audit[[#This Row],[Max Differences]]), 0)</f>
        <v>0</v>
      </c>
      <c r="AT203" s="114">
        <f>'Sampling Data'!AB203</f>
        <v>1.4474432716010366E-2</v>
      </c>
      <c r="AU203" s="114">
        <f>IF(
      SUM(Audit[[#This Row],[Audit Losing Candidate]:[Audit Candidate 12]])
      &lt;&gt;0,
      (Audit[[#This Row],[Winning Candidate]]-Audit[[#This Row],[Losing Candidate]]-(Audit[[#This Row],[Audit Winning Candidate]]-Audit[[#This Row],[Audit Losing Candidate]]))/(Audit[[#Totals],[Winning Candidate]]-Audit[[#Totals],[Losing Candidate]]),
      0
)</f>
        <v>0</v>
      </c>
      <c r="AV2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3" s="114">
        <f>IF(Audit[[#This Row],[Max Relative Error (ep)]] = 0, 0, Audit[[#This Row],[Max Relative Error (ep)]]/Audit[[#This Row],[Error Bound (up) - Max. possible relative overstatement]])</f>
        <v>0</v>
      </c>
      <c r="BH2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3" s="114">
        <f t="shared" si="3"/>
        <v>1</v>
      </c>
      <c r="BJ203" s="114">
        <f>PRODUCT($BI$5:BI203)</f>
        <v>0.20973752198051165</v>
      </c>
      <c r="BK203" s="112">
        <f>1 - Audit[[#This Row],[K-M P Value]]</f>
        <v>0.79026247801948835</v>
      </c>
      <c r="BL203" s="114" t="str">
        <f>IF(Audit[[#This Row],[K-M P Value]]&gt;1-'General Info'!$B$12,"Continue", "Stop")</f>
        <v>Continue</v>
      </c>
      <c r="BM203" s="113" t="b">
        <f>IF(Audit[[#This Row],[Status - Continue or stop audit]] = "Continue", TRUE, IF(BL202 = "Continue", TRUE, FALSE))</f>
        <v>1</v>
      </c>
      <c r="BN203" s="113"/>
    </row>
    <row r="204" spans="1:66" ht="15" hidden="1" customHeight="1" x14ac:dyDescent="0.35">
      <c r="A204" s="114" t="str">
        <f>'Sampling Data'!AI204</f>
        <v/>
      </c>
      <c r="B204" s="114" t="str">
        <f>'Sampling Data'!A204</f>
        <v>0110 CIN 1-J   (ED)</v>
      </c>
      <c r="C204" s="114">
        <f>'Sampling Data'!B204</f>
        <v>87</v>
      </c>
      <c r="D204" s="114">
        <f>'Sampling Data'!C204</f>
        <v>31</v>
      </c>
      <c r="E204" s="115">
        <f>'Sampling Data'!D204</f>
        <v>5</v>
      </c>
      <c r="F204" s="115">
        <f>'Sampling Data'!E204</f>
        <v>0</v>
      </c>
      <c r="G204" s="115">
        <f>'Sampling Data'!F204</f>
        <v>0</v>
      </c>
      <c r="H204" s="115">
        <f>'Sampling Data'!G204</f>
        <v>0</v>
      </c>
      <c r="I204" s="115">
        <f>'Sampling Data'!H204</f>
        <v>0</v>
      </c>
      <c r="J204" s="115">
        <f>'Sampling Data'!I204</f>
        <v>0</v>
      </c>
      <c r="K204" s="115">
        <f>'Sampling Data'!J204</f>
        <v>0</v>
      </c>
      <c r="L204" s="115">
        <f>'Sampling Data'!K204</f>
        <v>0</v>
      </c>
      <c r="M204" s="115">
        <f>'Sampling Data'!L204</f>
        <v>0</v>
      </c>
      <c r="N204" s="115">
        <f>'Sampling Data'!M204</f>
        <v>0</v>
      </c>
      <c r="O204" s="114">
        <f>'Sampling Data'!N204</f>
        <v>0</v>
      </c>
      <c r="P204" s="114">
        <f>'Sampling Data'!O204</f>
        <v>0</v>
      </c>
      <c r="Q204" s="114">
        <f>'Sampling Data'!P204</f>
        <v>123</v>
      </c>
      <c r="R204" s="114">
        <f>'Sampling Data'!AJ204</f>
        <v>0</v>
      </c>
      <c r="S204" s="116"/>
      <c r="T204" s="116"/>
      <c r="U204" s="117"/>
      <c r="V204" s="117"/>
      <c r="W204" s="116"/>
      <c r="X204" s="116"/>
      <c r="Y204" s="116"/>
      <c r="Z204" s="116"/>
      <c r="AA204" s="15"/>
      <c r="AB204" s="15"/>
      <c r="AC204" s="15"/>
      <c r="AD204" s="15"/>
      <c r="AE204" s="118" t="str">
        <f>IF(NOT(ISBLANK(Audit[[#This Row],[Audit Winning Candidate]])), Audit[[#This Row],[Audit Winning Candidate]]-Audit[[#This Row],[Winning Candidate]], "")</f>
        <v/>
      </c>
      <c r="AF204" s="114" t="str">
        <f>IF(NOT(ISBLANK(Audit[[#This Row],[Audit Losing Candidate]])), Audit[[#This Row],[Audit Losing Candidate]]-Audit[[#This Row],[Losing Candidate]], "")</f>
        <v/>
      </c>
      <c r="AG204" s="114" t="str">
        <f>IF(NOT(ISBLANK(Audit[[#This Row],[Audit Candidate 3]])), Audit[[#This Row],[Audit Candidate 3]]-Audit[[#This Row],[Candidate 3]], "")</f>
        <v/>
      </c>
      <c r="AH204" s="114" t="str">
        <f>IF(NOT(ISBLANK(Audit[[#This Row],[Audit Candidate 4]])),Audit[[#This Row],[Audit Candidate 4]]-Audit[[#This Row],[Candidate 4]], "")</f>
        <v/>
      </c>
      <c r="AI204" s="114" t="str">
        <f>IF(NOT(ISBLANK(Audit[[#This Row],[Audit Candidate 5]])), Audit[[#This Row],[Audit Candidate 5]]-Audit[[#This Row],[Candidate 5]], "")</f>
        <v/>
      </c>
      <c r="AJ204" s="114" t="str">
        <f>IF(NOT(ISBLANK(Audit[[#This Row],[Audit Candidate 6]])), Audit[[#This Row],[Audit Candidate 6]]-Audit[[#This Row],[Candidate 6]], "")</f>
        <v/>
      </c>
      <c r="AK204" s="114" t="str">
        <f>IF(NOT(ISBLANK(Audit[[#This Row],[Audit Candidate 7]])), Audit[[#This Row],[Audit Candidate 7]]-Audit[[#This Row],[Candidate 7]], "")</f>
        <v/>
      </c>
      <c r="AL204" s="114" t="str">
        <f>IF(NOT(ISBLANK(Audit[[#This Row],[Audit Candidate 8]])), Audit[[#This Row],[Audit Candidate 8]]-Audit[[#This Row],[Candidate 8]], "")</f>
        <v/>
      </c>
      <c r="AM204" s="114" t="str">
        <f>IF(NOT(ISBLANK(Audit[[#This Row],[Audit Candidate 9]])), Audit[[#This Row],[Audit Candidate 9]]-Audit[[#This Row],[Candidate 9]], "")</f>
        <v/>
      </c>
      <c r="AN204" s="114" t="str">
        <f>IF(NOT(ISBLANK(Audit[[#This Row],[Audit Candidate 10]])), Audit[[#This Row],[Audit Candidate 10]]-Audit[[#This Row],[Candidate 10]], "")</f>
        <v/>
      </c>
      <c r="AO204" s="114" t="str">
        <f>IF(NOT(ISBLANK(Audit[[#This Row],[Audit Candidate 11]])), Audit[[#This Row],[Audit Candidate 11]]-Audit[[#This Row],[Candidate 11]], "")</f>
        <v/>
      </c>
      <c r="AP204" s="114" t="str">
        <f>IF(NOT(ISBLANK(Audit[[#This Row],[Audit Candidate 12]])), Audit[[#This Row],[Audit Candidate 12]]-Audit[[#This Row],[Candidate 12]], "")</f>
        <v/>
      </c>
      <c r="AQ204" s="114">
        <f>SUMIF(Audit[[#This Row],[Difference Winner]:[Difference Candidate 12]], "&gt;0")</f>
        <v>0</v>
      </c>
      <c r="AR204" s="114">
        <f>SUM(Audit[[#This Row],[Difference Winner]:[Difference Candidate 12]])</f>
        <v>0</v>
      </c>
      <c r="AS204" s="114">
        <f>IF(Audit[[#This Row],[Times p Drawn - With Replacement]]&gt;0, IF(Audit[[#This Row],[Canceled Differences]]&lt;0, Audit[[#This Row],[Max Differences]]+ABS(Audit[[#This Row],[Canceled Differences]]), Audit[[#This Row],[Max Differences]]), 0)</f>
        <v>0</v>
      </c>
      <c r="AT204" s="114">
        <f>'Sampling Data'!AB204</f>
        <v>1.1571460826371642E-2</v>
      </c>
      <c r="AU204" s="114">
        <f>IF(
      SUM(Audit[[#This Row],[Audit Losing Candidate]:[Audit Candidate 12]])
      &lt;&gt;0,
      (Audit[[#This Row],[Winning Candidate]]-Audit[[#This Row],[Losing Candidate]]-(Audit[[#This Row],[Audit Winning Candidate]]-Audit[[#This Row],[Audit Losing Candidate]]))/(Audit[[#Totals],[Winning Candidate]]-Audit[[#Totals],[Losing Candidate]]),
      0
)</f>
        <v>0</v>
      </c>
      <c r="AV2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4" s="114">
        <f>IF(Audit[[#This Row],[Max Relative Error (ep)]] = 0, 0, Audit[[#This Row],[Max Relative Error (ep)]]/Audit[[#This Row],[Error Bound (up) - Max. possible relative overstatement]])</f>
        <v>0</v>
      </c>
      <c r="BH2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4" s="114">
        <f t="shared" si="3"/>
        <v>1</v>
      </c>
      <c r="BJ204" s="114">
        <f>PRODUCT($BI$5:BI204)</f>
        <v>0.20973752198051165</v>
      </c>
      <c r="BK204" s="112">
        <f>1 - Audit[[#This Row],[K-M P Value]]</f>
        <v>0.79026247801948835</v>
      </c>
      <c r="BL204" s="114" t="str">
        <f>IF(Audit[[#This Row],[K-M P Value]]&gt;1-'General Info'!$B$12,"Continue", "Stop")</f>
        <v>Continue</v>
      </c>
      <c r="BM204" s="113" t="b">
        <f>IF(Audit[[#This Row],[Status - Continue or stop audit]] = "Continue", TRUE, IF(BL203 = "Continue", TRUE, FALSE))</f>
        <v>1</v>
      </c>
      <c r="BN204" s="113"/>
    </row>
    <row r="205" spans="1:66" ht="15" hidden="1" customHeight="1" x14ac:dyDescent="0.35">
      <c r="A205" s="114" t="str">
        <f>'Sampling Data'!AI205</f>
        <v/>
      </c>
      <c r="B205" s="114" t="str">
        <f>'Sampling Data'!A205</f>
        <v>0111 CIN 1-K   (ED)</v>
      </c>
      <c r="C205" s="114">
        <f>'Sampling Data'!B205</f>
        <v>106</v>
      </c>
      <c r="D205" s="114">
        <f>'Sampling Data'!C205</f>
        <v>22</v>
      </c>
      <c r="E205" s="115">
        <f>'Sampling Data'!D205</f>
        <v>6</v>
      </c>
      <c r="F205" s="115">
        <f>'Sampling Data'!E205</f>
        <v>0</v>
      </c>
      <c r="G205" s="115">
        <f>'Sampling Data'!F205</f>
        <v>0</v>
      </c>
      <c r="H205" s="115">
        <f>'Sampling Data'!G205</f>
        <v>0</v>
      </c>
      <c r="I205" s="115">
        <f>'Sampling Data'!H205</f>
        <v>0</v>
      </c>
      <c r="J205" s="115">
        <f>'Sampling Data'!I205</f>
        <v>0</v>
      </c>
      <c r="K205" s="115">
        <f>'Sampling Data'!J205</f>
        <v>0</v>
      </c>
      <c r="L205" s="115">
        <f>'Sampling Data'!K205</f>
        <v>0</v>
      </c>
      <c r="M205" s="115">
        <f>'Sampling Data'!L205</f>
        <v>0</v>
      </c>
      <c r="N205" s="115">
        <f>'Sampling Data'!M205</f>
        <v>0</v>
      </c>
      <c r="O205" s="114">
        <f>'Sampling Data'!N205</f>
        <v>0</v>
      </c>
      <c r="P205" s="114">
        <f>'Sampling Data'!O205</f>
        <v>2</v>
      </c>
      <c r="Q205" s="114">
        <f>'Sampling Data'!P205</f>
        <v>136</v>
      </c>
      <c r="R205" s="114">
        <f>'Sampling Data'!AJ205</f>
        <v>0</v>
      </c>
      <c r="S205" s="116"/>
      <c r="T205" s="116"/>
      <c r="U205" s="117"/>
      <c r="V205" s="117"/>
      <c r="W205" s="116"/>
      <c r="X205" s="116"/>
      <c r="Y205" s="116"/>
      <c r="Z205" s="116"/>
      <c r="AA205" s="15"/>
      <c r="AB205" s="15"/>
      <c r="AC205" s="15"/>
      <c r="AD205" s="15"/>
      <c r="AE205" s="118" t="str">
        <f>IF(NOT(ISBLANK(Audit[[#This Row],[Audit Winning Candidate]])), Audit[[#This Row],[Audit Winning Candidate]]-Audit[[#This Row],[Winning Candidate]], "")</f>
        <v/>
      </c>
      <c r="AF205" s="114" t="str">
        <f>IF(NOT(ISBLANK(Audit[[#This Row],[Audit Losing Candidate]])), Audit[[#This Row],[Audit Losing Candidate]]-Audit[[#This Row],[Losing Candidate]], "")</f>
        <v/>
      </c>
      <c r="AG205" s="114" t="str">
        <f>IF(NOT(ISBLANK(Audit[[#This Row],[Audit Candidate 3]])), Audit[[#This Row],[Audit Candidate 3]]-Audit[[#This Row],[Candidate 3]], "")</f>
        <v/>
      </c>
      <c r="AH205" s="114" t="str">
        <f>IF(NOT(ISBLANK(Audit[[#This Row],[Audit Candidate 4]])),Audit[[#This Row],[Audit Candidate 4]]-Audit[[#This Row],[Candidate 4]], "")</f>
        <v/>
      </c>
      <c r="AI205" s="114" t="str">
        <f>IF(NOT(ISBLANK(Audit[[#This Row],[Audit Candidate 5]])), Audit[[#This Row],[Audit Candidate 5]]-Audit[[#This Row],[Candidate 5]], "")</f>
        <v/>
      </c>
      <c r="AJ205" s="114" t="str">
        <f>IF(NOT(ISBLANK(Audit[[#This Row],[Audit Candidate 6]])), Audit[[#This Row],[Audit Candidate 6]]-Audit[[#This Row],[Candidate 6]], "")</f>
        <v/>
      </c>
      <c r="AK205" s="114" t="str">
        <f>IF(NOT(ISBLANK(Audit[[#This Row],[Audit Candidate 7]])), Audit[[#This Row],[Audit Candidate 7]]-Audit[[#This Row],[Candidate 7]], "")</f>
        <v/>
      </c>
      <c r="AL205" s="114" t="str">
        <f>IF(NOT(ISBLANK(Audit[[#This Row],[Audit Candidate 8]])), Audit[[#This Row],[Audit Candidate 8]]-Audit[[#This Row],[Candidate 8]], "")</f>
        <v/>
      </c>
      <c r="AM205" s="114" t="str">
        <f>IF(NOT(ISBLANK(Audit[[#This Row],[Audit Candidate 9]])), Audit[[#This Row],[Audit Candidate 9]]-Audit[[#This Row],[Candidate 9]], "")</f>
        <v/>
      </c>
      <c r="AN205" s="114" t="str">
        <f>IF(NOT(ISBLANK(Audit[[#This Row],[Audit Candidate 10]])), Audit[[#This Row],[Audit Candidate 10]]-Audit[[#This Row],[Candidate 10]], "")</f>
        <v/>
      </c>
      <c r="AO205" s="114" t="str">
        <f>IF(NOT(ISBLANK(Audit[[#This Row],[Audit Candidate 11]])), Audit[[#This Row],[Audit Candidate 11]]-Audit[[#This Row],[Candidate 11]], "")</f>
        <v/>
      </c>
      <c r="AP205" s="114" t="str">
        <f>IF(NOT(ISBLANK(Audit[[#This Row],[Audit Candidate 12]])), Audit[[#This Row],[Audit Candidate 12]]-Audit[[#This Row],[Candidate 12]], "")</f>
        <v/>
      </c>
      <c r="AQ205" s="114">
        <f>SUMIF(Audit[[#This Row],[Difference Winner]:[Difference Candidate 12]], "&gt;0")</f>
        <v>0</v>
      </c>
      <c r="AR205" s="114">
        <f>SUM(Audit[[#This Row],[Difference Winner]:[Difference Candidate 12]])</f>
        <v>0</v>
      </c>
      <c r="AS205" s="114">
        <f>IF(Audit[[#This Row],[Times p Drawn - With Replacement]]&gt;0, IF(Audit[[#This Row],[Canceled Differences]]&lt;0, Audit[[#This Row],[Max Differences]]+ABS(Audit[[#This Row],[Canceled Differences]]), Audit[[#This Row],[Max Differences]]), 0)</f>
        <v>0</v>
      </c>
      <c r="AT205" s="114">
        <f>'Sampling Data'!AB205</f>
        <v>1.3905568548132229E-2</v>
      </c>
      <c r="AU205" s="114">
        <f>IF(
      SUM(Audit[[#This Row],[Audit Losing Candidate]:[Audit Candidate 12]])
      &lt;&gt;0,
      (Audit[[#This Row],[Winning Candidate]]-Audit[[#This Row],[Losing Candidate]]-(Audit[[#This Row],[Audit Winning Candidate]]-Audit[[#This Row],[Audit Losing Candidate]]))/(Audit[[#Totals],[Winning Candidate]]-Audit[[#Totals],[Losing Candidate]]),
      0
)</f>
        <v>0</v>
      </c>
      <c r="AV2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5" s="114">
        <f>IF(Audit[[#This Row],[Max Relative Error (ep)]] = 0, 0, Audit[[#This Row],[Max Relative Error (ep)]]/Audit[[#This Row],[Error Bound (up) - Max. possible relative overstatement]])</f>
        <v>0</v>
      </c>
      <c r="BH2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5" s="114">
        <f t="shared" si="3"/>
        <v>1</v>
      </c>
      <c r="BJ205" s="114">
        <f>PRODUCT($BI$5:BI205)</f>
        <v>0.20973752198051165</v>
      </c>
      <c r="BK205" s="112">
        <f>1 - Audit[[#This Row],[K-M P Value]]</f>
        <v>0.79026247801948835</v>
      </c>
      <c r="BL205" s="114" t="str">
        <f>IF(Audit[[#This Row],[K-M P Value]]&gt;1-'General Info'!$B$12,"Continue", "Stop")</f>
        <v>Continue</v>
      </c>
      <c r="BM205" s="113" t="b">
        <f>IF(Audit[[#This Row],[Status - Continue or stop audit]] = "Continue", TRUE, IF(BL204 = "Continue", TRUE, FALSE))</f>
        <v>1</v>
      </c>
      <c r="BN205" s="113"/>
    </row>
    <row r="206" spans="1:66" ht="15" hidden="1" customHeight="1" x14ac:dyDescent="0.35">
      <c r="A206" s="114" t="str">
        <f>'Sampling Data'!AI206</f>
        <v/>
      </c>
      <c r="B206" s="114" t="str">
        <f>'Sampling Data'!A206</f>
        <v>0112 CIN 1-L   (ED)</v>
      </c>
      <c r="C206" s="114">
        <f>'Sampling Data'!B206</f>
        <v>61</v>
      </c>
      <c r="D206" s="114">
        <f>'Sampling Data'!C206</f>
        <v>31</v>
      </c>
      <c r="E206" s="115">
        <f>'Sampling Data'!D206</f>
        <v>6</v>
      </c>
      <c r="F206" s="115">
        <f>'Sampling Data'!E206</f>
        <v>0</v>
      </c>
      <c r="G206" s="115">
        <f>'Sampling Data'!F206</f>
        <v>0</v>
      </c>
      <c r="H206" s="115">
        <f>'Sampling Data'!G206</f>
        <v>0</v>
      </c>
      <c r="I206" s="115">
        <f>'Sampling Data'!H206</f>
        <v>0</v>
      </c>
      <c r="J206" s="115">
        <f>'Sampling Data'!I206</f>
        <v>0</v>
      </c>
      <c r="K206" s="115">
        <f>'Sampling Data'!J206</f>
        <v>0</v>
      </c>
      <c r="L206" s="115">
        <f>'Sampling Data'!K206</f>
        <v>0</v>
      </c>
      <c r="M206" s="115">
        <f>'Sampling Data'!L206</f>
        <v>0</v>
      </c>
      <c r="N206" s="115">
        <f>'Sampling Data'!M206</f>
        <v>0</v>
      </c>
      <c r="O206" s="114">
        <f>'Sampling Data'!N206</f>
        <v>0</v>
      </c>
      <c r="P206" s="114">
        <f>'Sampling Data'!O206</f>
        <v>0</v>
      </c>
      <c r="Q206" s="114">
        <f>'Sampling Data'!P206</f>
        <v>98</v>
      </c>
      <c r="R206" s="114">
        <f>'Sampling Data'!AJ206</f>
        <v>0</v>
      </c>
      <c r="S206" s="116"/>
      <c r="T206" s="116"/>
      <c r="U206" s="117"/>
      <c r="V206" s="117"/>
      <c r="W206" s="116"/>
      <c r="X206" s="116"/>
      <c r="Y206" s="116"/>
      <c r="Z206" s="116"/>
      <c r="AA206" s="15"/>
      <c r="AB206" s="15"/>
      <c r="AC206" s="15"/>
      <c r="AD206" s="15"/>
      <c r="AE206" s="118" t="str">
        <f>IF(NOT(ISBLANK(Audit[[#This Row],[Audit Winning Candidate]])), Audit[[#This Row],[Audit Winning Candidate]]-Audit[[#This Row],[Winning Candidate]], "")</f>
        <v/>
      </c>
      <c r="AF206" s="114" t="str">
        <f>IF(NOT(ISBLANK(Audit[[#This Row],[Audit Losing Candidate]])), Audit[[#This Row],[Audit Losing Candidate]]-Audit[[#This Row],[Losing Candidate]], "")</f>
        <v/>
      </c>
      <c r="AG206" s="114" t="str">
        <f>IF(NOT(ISBLANK(Audit[[#This Row],[Audit Candidate 3]])), Audit[[#This Row],[Audit Candidate 3]]-Audit[[#This Row],[Candidate 3]], "")</f>
        <v/>
      </c>
      <c r="AH206" s="114" t="str">
        <f>IF(NOT(ISBLANK(Audit[[#This Row],[Audit Candidate 4]])),Audit[[#This Row],[Audit Candidate 4]]-Audit[[#This Row],[Candidate 4]], "")</f>
        <v/>
      </c>
      <c r="AI206" s="114" t="str">
        <f>IF(NOT(ISBLANK(Audit[[#This Row],[Audit Candidate 5]])), Audit[[#This Row],[Audit Candidate 5]]-Audit[[#This Row],[Candidate 5]], "")</f>
        <v/>
      </c>
      <c r="AJ206" s="114" t="str">
        <f>IF(NOT(ISBLANK(Audit[[#This Row],[Audit Candidate 6]])), Audit[[#This Row],[Audit Candidate 6]]-Audit[[#This Row],[Candidate 6]], "")</f>
        <v/>
      </c>
      <c r="AK206" s="114" t="str">
        <f>IF(NOT(ISBLANK(Audit[[#This Row],[Audit Candidate 7]])), Audit[[#This Row],[Audit Candidate 7]]-Audit[[#This Row],[Candidate 7]], "")</f>
        <v/>
      </c>
      <c r="AL206" s="114" t="str">
        <f>IF(NOT(ISBLANK(Audit[[#This Row],[Audit Candidate 8]])), Audit[[#This Row],[Audit Candidate 8]]-Audit[[#This Row],[Candidate 8]], "")</f>
        <v/>
      </c>
      <c r="AM206" s="114" t="str">
        <f>IF(NOT(ISBLANK(Audit[[#This Row],[Audit Candidate 9]])), Audit[[#This Row],[Audit Candidate 9]]-Audit[[#This Row],[Candidate 9]], "")</f>
        <v/>
      </c>
      <c r="AN206" s="114" t="str">
        <f>IF(NOT(ISBLANK(Audit[[#This Row],[Audit Candidate 10]])), Audit[[#This Row],[Audit Candidate 10]]-Audit[[#This Row],[Candidate 10]], "")</f>
        <v/>
      </c>
      <c r="AO206" s="114" t="str">
        <f>IF(NOT(ISBLANK(Audit[[#This Row],[Audit Candidate 11]])), Audit[[#This Row],[Audit Candidate 11]]-Audit[[#This Row],[Candidate 11]], "")</f>
        <v/>
      </c>
      <c r="AP206" s="114" t="str">
        <f>IF(NOT(ISBLANK(Audit[[#This Row],[Audit Candidate 12]])), Audit[[#This Row],[Audit Candidate 12]]-Audit[[#This Row],[Candidate 12]], "")</f>
        <v/>
      </c>
      <c r="AQ206" s="114">
        <f>SUMIF(Audit[[#This Row],[Difference Winner]:[Difference Candidate 12]], "&gt;0")</f>
        <v>0</v>
      </c>
      <c r="AR206" s="114">
        <f>SUM(Audit[[#This Row],[Difference Winner]:[Difference Candidate 12]])</f>
        <v>0</v>
      </c>
      <c r="AS206" s="114">
        <f>IF(Audit[[#This Row],[Times p Drawn - With Replacement]]&gt;0, IF(Audit[[#This Row],[Canceled Differences]]&lt;0, Audit[[#This Row],[Max Differences]]+ABS(Audit[[#This Row],[Canceled Differences]]), Audit[[#This Row],[Max Differences]]), 0)</f>
        <v>0</v>
      </c>
      <c r="AT206" s="114">
        <f>'Sampling Data'!AB206</f>
        <v>8.6362610069993222E-3</v>
      </c>
      <c r="AU206" s="114">
        <f>IF(
      SUM(Audit[[#This Row],[Audit Losing Candidate]:[Audit Candidate 12]])
      &lt;&gt;0,
      (Audit[[#This Row],[Winning Candidate]]-Audit[[#This Row],[Losing Candidate]]-(Audit[[#This Row],[Audit Winning Candidate]]-Audit[[#This Row],[Audit Losing Candidate]]))/(Audit[[#Totals],[Winning Candidate]]-Audit[[#Totals],[Losing Candidate]]),
      0
)</f>
        <v>0</v>
      </c>
      <c r="AV2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6" s="114">
        <f>IF(Audit[[#This Row],[Max Relative Error (ep)]] = 0, 0, Audit[[#This Row],[Max Relative Error (ep)]]/Audit[[#This Row],[Error Bound (up) - Max. possible relative overstatement]])</f>
        <v>0</v>
      </c>
      <c r="BH2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6" s="114">
        <f t="shared" si="3"/>
        <v>1</v>
      </c>
      <c r="BJ206" s="114">
        <f>PRODUCT($BI$5:BI206)</f>
        <v>0.20973752198051165</v>
      </c>
      <c r="BK206" s="112">
        <f>1 - Audit[[#This Row],[K-M P Value]]</f>
        <v>0.79026247801948835</v>
      </c>
      <c r="BL206" s="114" t="str">
        <f>IF(Audit[[#This Row],[K-M P Value]]&gt;1-'General Info'!$B$12,"Continue", "Stop")</f>
        <v>Continue</v>
      </c>
      <c r="BM206" s="113" t="b">
        <f>IF(Audit[[#This Row],[Status - Continue or stop audit]] = "Continue", TRUE, IF(BL205 = "Continue", TRUE, FALSE))</f>
        <v>1</v>
      </c>
      <c r="BN206" s="113"/>
    </row>
    <row r="207" spans="1:66" ht="15" hidden="1" customHeight="1" x14ac:dyDescent="0.35">
      <c r="A207" s="114" t="str">
        <f>'Sampling Data'!AI207</f>
        <v/>
      </c>
      <c r="B207" s="114" t="str">
        <f>'Sampling Data'!A207</f>
        <v>0113 CIN 1-M   (ED)</v>
      </c>
      <c r="C207" s="114">
        <f>'Sampling Data'!B207</f>
        <v>80</v>
      </c>
      <c r="D207" s="114">
        <f>'Sampling Data'!C207</f>
        <v>37</v>
      </c>
      <c r="E207" s="115">
        <f>'Sampling Data'!D207</f>
        <v>21</v>
      </c>
      <c r="F207" s="115">
        <f>'Sampling Data'!E207</f>
        <v>0</v>
      </c>
      <c r="G207" s="115">
        <f>'Sampling Data'!F207</f>
        <v>0</v>
      </c>
      <c r="H207" s="115">
        <f>'Sampling Data'!G207</f>
        <v>0</v>
      </c>
      <c r="I207" s="115">
        <f>'Sampling Data'!H207</f>
        <v>0</v>
      </c>
      <c r="J207" s="115">
        <f>'Sampling Data'!I207</f>
        <v>0</v>
      </c>
      <c r="K207" s="115">
        <f>'Sampling Data'!J207</f>
        <v>0</v>
      </c>
      <c r="L207" s="115">
        <f>'Sampling Data'!K207</f>
        <v>0</v>
      </c>
      <c r="M207" s="115">
        <f>'Sampling Data'!L207</f>
        <v>0</v>
      </c>
      <c r="N207" s="115">
        <f>'Sampling Data'!M207</f>
        <v>0</v>
      </c>
      <c r="O207" s="114">
        <f>'Sampling Data'!N207</f>
        <v>0</v>
      </c>
      <c r="P207" s="114">
        <f>'Sampling Data'!O207</f>
        <v>1</v>
      </c>
      <c r="Q207" s="114">
        <f>'Sampling Data'!P207</f>
        <v>139</v>
      </c>
      <c r="R207" s="114">
        <f>'Sampling Data'!AJ207</f>
        <v>0</v>
      </c>
      <c r="S207" s="116"/>
      <c r="T207" s="116"/>
      <c r="U207" s="117"/>
      <c r="V207" s="117"/>
      <c r="W207" s="116"/>
      <c r="X207" s="116"/>
      <c r="Y207" s="116"/>
      <c r="Z207" s="116"/>
      <c r="AA207" s="15"/>
      <c r="AB207" s="15"/>
      <c r="AC207" s="15"/>
      <c r="AD207" s="15"/>
      <c r="AE207" s="118" t="str">
        <f>IF(NOT(ISBLANK(Audit[[#This Row],[Audit Winning Candidate]])), Audit[[#This Row],[Audit Winning Candidate]]-Audit[[#This Row],[Winning Candidate]], "")</f>
        <v/>
      </c>
      <c r="AF207" s="114" t="str">
        <f>IF(NOT(ISBLANK(Audit[[#This Row],[Audit Losing Candidate]])), Audit[[#This Row],[Audit Losing Candidate]]-Audit[[#This Row],[Losing Candidate]], "")</f>
        <v/>
      </c>
      <c r="AG207" s="114" t="str">
        <f>IF(NOT(ISBLANK(Audit[[#This Row],[Audit Candidate 3]])), Audit[[#This Row],[Audit Candidate 3]]-Audit[[#This Row],[Candidate 3]], "")</f>
        <v/>
      </c>
      <c r="AH207" s="114" t="str">
        <f>IF(NOT(ISBLANK(Audit[[#This Row],[Audit Candidate 4]])),Audit[[#This Row],[Audit Candidate 4]]-Audit[[#This Row],[Candidate 4]], "")</f>
        <v/>
      </c>
      <c r="AI207" s="114" t="str">
        <f>IF(NOT(ISBLANK(Audit[[#This Row],[Audit Candidate 5]])), Audit[[#This Row],[Audit Candidate 5]]-Audit[[#This Row],[Candidate 5]], "")</f>
        <v/>
      </c>
      <c r="AJ207" s="114" t="str">
        <f>IF(NOT(ISBLANK(Audit[[#This Row],[Audit Candidate 6]])), Audit[[#This Row],[Audit Candidate 6]]-Audit[[#This Row],[Candidate 6]], "")</f>
        <v/>
      </c>
      <c r="AK207" s="114" t="str">
        <f>IF(NOT(ISBLANK(Audit[[#This Row],[Audit Candidate 7]])), Audit[[#This Row],[Audit Candidate 7]]-Audit[[#This Row],[Candidate 7]], "")</f>
        <v/>
      </c>
      <c r="AL207" s="114" t="str">
        <f>IF(NOT(ISBLANK(Audit[[#This Row],[Audit Candidate 8]])), Audit[[#This Row],[Audit Candidate 8]]-Audit[[#This Row],[Candidate 8]], "")</f>
        <v/>
      </c>
      <c r="AM207" s="114" t="str">
        <f>IF(NOT(ISBLANK(Audit[[#This Row],[Audit Candidate 9]])), Audit[[#This Row],[Audit Candidate 9]]-Audit[[#This Row],[Candidate 9]], "")</f>
        <v/>
      </c>
      <c r="AN207" s="114" t="str">
        <f>IF(NOT(ISBLANK(Audit[[#This Row],[Audit Candidate 10]])), Audit[[#This Row],[Audit Candidate 10]]-Audit[[#This Row],[Candidate 10]], "")</f>
        <v/>
      </c>
      <c r="AO207" s="114" t="str">
        <f>IF(NOT(ISBLANK(Audit[[#This Row],[Audit Candidate 11]])), Audit[[#This Row],[Audit Candidate 11]]-Audit[[#This Row],[Candidate 11]], "")</f>
        <v/>
      </c>
      <c r="AP207" s="114" t="str">
        <f>IF(NOT(ISBLANK(Audit[[#This Row],[Audit Candidate 12]])), Audit[[#This Row],[Audit Candidate 12]]-Audit[[#This Row],[Candidate 12]], "")</f>
        <v/>
      </c>
      <c r="AQ207" s="114">
        <f>SUMIF(Audit[[#This Row],[Difference Winner]:[Difference Candidate 12]], "&gt;0")</f>
        <v>0</v>
      </c>
      <c r="AR207" s="114">
        <f>SUM(Audit[[#This Row],[Difference Winner]:[Difference Candidate 12]])</f>
        <v>0</v>
      </c>
      <c r="AS207" s="114">
        <f>IF(Audit[[#This Row],[Times p Drawn - With Replacement]]&gt;0, IF(Audit[[#This Row],[Canceled Differences]]&lt;0, Audit[[#This Row],[Max Differences]]+ABS(Audit[[#This Row],[Canceled Differences]]), Audit[[#This Row],[Max Differences]]), 0)</f>
        <v>0</v>
      </c>
      <c r="AT207" s="114">
        <f>'Sampling Data'!AB207</f>
        <v>1.1503697617091208E-2</v>
      </c>
      <c r="AU207" s="114">
        <f>IF(
      SUM(Audit[[#This Row],[Audit Losing Candidate]:[Audit Candidate 12]])
      &lt;&gt;0,
      (Audit[[#This Row],[Winning Candidate]]-Audit[[#This Row],[Losing Candidate]]-(Audit[[#This Row],[Audit Winning Candidate]]-Audit[[#This Row],[Audit Losing Candidate]]))/(Audit[[#Totals],[Winning Candidate]]-Audit[[#Totals],[Losing Candidate]]),
      0
)</f>
        <v>0</v>
      </c>
      <c r="AV2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7" s="114">
        <f>IF(Audit[[#This Row],[Max Relative Error (ep)]] = 0, 0, Audit[[#This Row],[Max Relative Error (ep)]]/Audit[[#This Row],[Error Bound (up) - Max. possible relative overstatement]])</f>
        <v>0</v>
      </c>
      <c r="BH2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7" s="114">
        <f t="shared" ref="BI207:BI270" si="4">IF(ISERR(POWER(BH207,R207)), 0, POWER(BH207,R207))</f>
        <v>1</v>
      </c>
      <c r="BJ207" s="114">
        <f>PRODUCT($BI$5:BI207)</f>
        <v>0.20973752198051165</v>
      </c>
      <c r="BK207" s="112">
        <f>1 - Audit[[#This Row],[K-M P Value]]</f>
        <v>0.79026247801948835</v>
      </c>
      <c r="BL207" s="114" t="str">
        <f>IF(Audit[[#This Row],[K-M P Value]]&gt;1-'General Info'!$B$12,"Continue", "Stop")</f>
        <v>Continue</v>
      </c>
      <c r="BM207" s="113" t="b">
        <f>IF(Audit[[#This Row],[Status - Continue or stop audit]] = "Continue", TRUE, IF(BL206 = "Continue", TRUE, FALSE))</f>
        <v>1</v>
      </c>
      <c r="BN207" s="113"/>
    </row>
    <row r="208" spans="1:66" ht="15" hidden="1" customHeight="1" x14ac:dyDescent="0.35">
      <c r="A208" s="114" t="str">
        <f>'Sampling Data'!AI208</f>
        <v/>
      </c>
      <c r="B208" s="114" t="str">
        <f>'Sampling Data'!A208</f>
        <v>0201 CIN 2-A   (ED)</v>
      </c>
      <c r="C208" s="114">
        <f>'Sampling Data'!B208</f>
        <v>74</v>
      </c>
      <c r="D208" s="114">
        <f>'Sampling Data'!C208</f>
        <v>4</v>
      </c>
      <c r="E208" s="115">
        <f>'Sampling Data'!D208</f>
        <v>3</v>
      </c>
      <c r="F208" s="115">
        <f>'Sampling Data'!E208</f>
        <v>0</v>
      </c>
      <c r="G208" s="115">
        <f>'Sampling Data'!F208</f>
        <v>0</v>
      </c>
      <c r="H208" s="115">
        <f>'Sampling Data'!G208</f>
        <v>0</v>
      </c>
      <c r="I208" s="115">
        <f>'Sampling Data'!H208</f>
        <v>0</v>
      </c>
      <c r="J208" s="115">
        <f>'Sampling Data'!I208</f>
        <v>0</v>
      </c>
      <c r="K208" s="115">
        <f>'Sampling Data'!J208</f>
        <v>0</v>
      </c>
      <c r="L208" s="115">
        <f>'Sampling Data'!K208</f>
        <v>0</v>
      </c>
      <c r="M208" s="115">
        <f>'Sampling Data'!L208</f>
        <v>0</v>
      </c>
      <c r="N208" s="115">
        <f>'Sampling Data'!M208</f>
        <v>0</v>
      </c>
      <c r="O208" s="114">
        <f>'Sampling Data'!N208</f>
        <v>0</v>
      </c>
      <c r="P208" s="114">
        <f>'Sampling Data'!O208</f>
        <v>0</v>
      </c>
      <c r="Q208" s="114">
        <f>'Sampling Data'!P208</f>
        <v>81</v>
      </c>
      <c r="R208" s="114">
        <f>'Sampling Data'!AJ208</f>
        <v>0</v>
      </c>
      <c r="S208" s="116"/>
      <c r="T208" s="116"/>
      <c r="U208" s="117"/>
      <c r="V208" s="117"/>
      <c r="W208" s="116"/>
      <c r="X208" s="116"/>
      <c r="Y208" s="116"/>
      <c r="Z208" s="116"/>
      <c r="AA208" s="15"/>
      <c r="AB208" s="15"/>
      <c r="AC208" s="15"/>
      <c r="AD208" s="15"/>
      <c r="AE208" s="118" t="str">
        <f>IF(NOT(ISBLANK(Audit[[#This Row],[Audit Winning Candidate]])), Audit[[#This Row],[Audit Winning Candidate]]-Audit[[#This Row],[Winning Candidate]], "")</f>
        <v/>
      </c>
      <c r="AF208" s="114" t="str">
        <f>IF(NOT(ISBLANK(Audit[[#This Row],[Audit Losing Candidate]])), Audit[[#This Row],[Audit Losing Candidate]]-Audit[[#This Row],[Losing Candidate]], "")</f>
        <v/>
      </c>
      <c r="AG208" s="114" t="str">
        <f>IF(NOT(ISBLANK(Audit[[#This Row],[Audit Candidate 3]])), Audit[[#This Row],[Audit Candidate 3]]-Audit[[#This Row],[Candidate 3]], "")</f>
        <v/>
      </c>
      <c r="AH208" s="114" t="str">
        <f>IF(NOT(ISBLANK(Audit[[#This Row],[Audit Candidate 4]])),Audit[[#This Row],[Audit Candidate 4]]-Audit[[#This Row],[Candidate 4]], "")</f>
        <v/>
      </c>
      <c r="AI208" s="114" t="str">
        <f>IF(NOT(ISBLANK(Audit[[#This Row],[Audit Candidate 5]])), Audit[[#This Row],[Audit Candidate 5]]-Audit[[#This Row],[Candidate 5]], "")</f>
        <v/>
      </c>
      <c r="AJ208" s="114" t="str">
        <f>IF(NOT(ISBLANK(Audit[[#This Row],[Audit Candidate 6]])), Audit[[#This Row],[Audit Candidate 6]]-Audit[[#This Row],[Candidate 6]], "")</f>
        <v/>
      </c>
      <c r="AK208" s="114" t="str">
        <f>IF(NOT(ISBLANK(Audit[[#This Row],[Audit Candidate 7]])), Audit[[#This Row],[Audit Candidate 7]]-Audit[[#This Row],[Candidate 7]], "")</f>
        <v/>
      </c>
      <c r="AL208" s="114" t="str">
        <f>IF(NOT(ISBLANK(Audit[[#This Row],[Audit Candidate 8]])), Audit[[#This Row],[Audit Candidate 8]]-Audit[[#This Row],[Candidate 8]], "")</f>
        <v/>
      </c>
      <c r="AM208" s="114" t="str">
        <f>IF(NOT(ISBLANK(Audit[[#This Row],[Audit Candidate 9]])), Audit[[#This Row],[Audit Candidate 9]]-Audit[[#This Row],[Candidate 9]], "")</f>
        <v/>
      </c>
      <c r="AN208" s="114" t="str">
        <f>IF(NOT(ISBLANK(Audit[[#This Row],[Audit Candidate 10]])), Audit[[#This Row],[Audit Candidate 10]]-Audit[[#This Row],[Candidate 10]], "")</f>
        <v/>
      </c>
      <c r="AO208" s="114" t="str">
        <f>IF(NOT(ISBLANK(Audit[[#This Row],[Audit Candidate 11]])), Audit[[#This Row],[Audit Candidate 11]]-Audit[[#This Row],[Candidate 11]], "")</f>
        <v/>
      </c>
      <c r="AP208" s="114" t="str">
        <f>IF(NOT(ISBLANK(Audit[[#This Row],[Audit Candidate 12]])), Audit[[#This Row],[Audit Candidate 12]]-Audit[[#This Row],[Candidate 12]], "")</f>
        <v/>
      </c>
      <c r="AQ208" s="114">
        <f>SUMIF(Audit[[#This Row],[Difference Winner]:[Difference Candidate 12]], "&gt;0")</f>
        <v>0</v>
      </c>
      <c r="AR208" s="114">
        <f>SUM(Audit[[#This Row],[Difference Winner]:[Difference Candidate 12]])</f>
        <v>0</v>
      </c>
      <c r="AS208" s="114">
        <f>IF(Audit[[#This Row],[Times p Drawn - With Replacement]]&gt;0, IF(Audit[[#This Row],[Canceled Differences]]&lt;0, Audit[[#This Row],[Max Differences]]+ABS(Audit[[#This Row],[Canceled Differences]]), Audit[[#This Row],[Max Differences]]), 0)</f>
        <v>0</v>
      </c>
      <c r="AT208" s="114">
        <f>'Sampling Data'!AB208</f>
        <v>9.5442765943998479E-3</v>
      </c>
      <c r="AU208" s="114">
        <f>IF(
      SUM(Audit[[#This Row],[Audit Losing Candidate]:[Audit Candidate 12]])
      &lt;&gt;0,
      (Audit[[#This Row],[Winning Candidate]]-Audit[[#This Row],[Losing Candidate]]-(Audit[[#This Row],[Audit Winning Candidate]]-Audit[[#This Row],[Audit Losing Candidate]]))/(Audit[[#Totals],[Winning Candidate]]-Audit[[#Totals],[Losing Candidate]]),
      0
)</f>
        <v>0</v>
      </c>
      <c r="AV2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8" s="114">
        <f>IF(Audit[[#This Row],[Max Relative Error (ep)]] = 0, 0, Audit[[#This Row],[Max Relative Error (ep)]]/Audit[[#This Row],[Error Bound (up) - Max. possible relative overstatement]])</f>
        <v>0</v>
      </c>
      <c r="BH2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8" s="114">
        <f t="shared" si="4"/>
        <v>1</v>
      </c>
      <c r="BJ208" s="114">
        <f>PRODUCT($BI$5:BI208)</f>
        <v>0.20973752198051165</v>
      </c>
      <c r="BK208" s="112">
        <f>1 - Audit[[#This Row],[K-M P Value]]</f>
        <v>0.79026247801948835</v>
      </c>
      <c r="BL208" s="114" t="str">
        <f>IF(Audit[[#This Row],[K-M P Value]]&gt;1-'General Info'!$B$12,"Continue", "Stop")</f>
        <v>Continue</v>
      </c>
      <c r="BM208" s="113" t="b">
        <f>IF(Audit[[#This Row],[Status - Continue or stop audit]] = "Continue", TRUE, IF(BL207 = "Continue", TRUE, FALSE))</f>
        <v>1</v>
      </c>
      <c r="BN208" s="113"/>
    </row>
    <row r="209" spans="1:66" ht="15" hidden="1" customHeight="1" x14ac:dyDescent="0.35">
      <c r="A209" s="114" t="str">
        <f>'Sampling Data'!AI209</f>
        <v/>
      </c>
      <c r="B209" s="114" t="str">
        <f>'Sampling Data'!A209</f>
        <v>0202 CIN 2-B   (ED)</v>
      </c>
      <c r="C209" s="114">
        <f>'Sampling Data'!B209</f>
        <v>122</v>
      </c>
      <c r="D209" s="114">
        <f>'Sampling Data'!C209</f>
        <v>9</v>
      </c>
      <c r="E209" s="115">
        <f>'Sampling Data'!D209</f>
        <v>2</v>
      </c>
      <c r="F209" s="115">
        <f>'Sampling Data'!E209</f>
        <v>0</v>
      </c>
      <c r="G209" s="115">
        <f>'Sampling Data'!F209</f>
        <v>0</v>
      </c>
      <c r="H209" s="115">
        <f>'Sampling Data'!G209</f>
        <v>0</v>
      </c>
      <c r="I209" s="115">
        <f>'Sampling Data'!H209</f>
        <v>0</v>
      </c>
      <c r="J209" s="115">
        <f>'Sampling Data'!I209</f>
        <v>0</v>
      </c>
      <c r="K209" s="115">
        <f>'Sampling Data'!J209</f>
        <v>0</v>
      </c>
      <c r="L209" s="115">
        <f>'Sampling Data'!K209</f>
        <v>0</v>
      </c>
      <c r="M209" s="115">
        <f>'Sampling Data'!L209</f>
        <v>0</v>
      </c>
      <c r="N209" s="115">
        <f>'Sampling Data'!M209</f>
        <v>0</v>
      </c>
      <c r="O209" s="114">
        <f>'Sampling Data'!N209</f>
        <v>0</v>
      </c>
      <c r="P209" s="114">
        <f>'Sampling Data'!O209</f>
        <v>0</v>
      </c>
      <c r="Q209" s="114">
        <f>'Sampling Data'!P209</f>
        <v>133</v>
      </c>
      <c r="R209" s="114">
        <f>'Sampling Data'!AJ209</f>
        <v>0</v>
      </c>
      <c r="S209" s="116"/>
      <c r="T209" s="116"/>
      <c r="U209" s="117"/>
      <c r="V209" s="117"/>
      <c r="W209" s="116"/>
      <c r="X209" s="116"/>
      <c r="Y209" s="116"/>
      <c r="Z209" s="116"/>
      <c r="AA209" s="15"/>
      <c r="AB209" s="15"/>
      <c r="AC209" s="15"/>
      <c r="AD209" s="15"/>
      <c r="AE209" s="118" t="str">
        <f>IF(NOT(ISBLANK(Audit[[#This Row],[Audit Winning Candidate]])), Audit[[#This Row],[Audit Winning Candidate]]-Audit[[#This Row],[Winning Candidate]], "")</f>
        <v/>
      </c>
      <c r="AF209" s="114" t="str">
        <f>IF(NOT(ISBLANK(Audit[[#This Row],[Audit Losing Candidate]])), Audit[[#This Row],[Audit Losing Candidate]]-Audit[[#This Row],[Losing Candidate]], "")</f>
        <v/>
      </c>
      <c r="AG209" s="114" t="str">
        <f>IF(NOT(ISBLANK(Audit[[#This Row],[Audit Candidate 3]])), Audit[[#This Row],[Audit Candidate 3]]-Audit[[#This Row],[Candidate 3]], "")</f>
        <v/>
      </c>
      <c r="AH209" s="114" t="str">
        <f>IF(NOT(ISBLANK(Audit[[#This Row],[Audit Candidate 4]])),Audit[[#This Row],[Audit Candidate 4]]-Audit[[#This Row],[Candidate 4]], "")</f>
        <v/>
      </c>
      <c r="AI209" s="114" t="str">
        <f>IF(NOT(ISBLANK(Audit[[#This Row],[Audit Candidate 5]])), Audit[[#This Row],[Audit Candidate 5]]-Audit[[#This Row],[Candidate 5]], "")</f>
        <v/>
      </c>
      <c r="AJ209" s="114" t="str">
        <f>IF(NOT(ISBLANK(Audit[[#This Row],[Audit Candidate 6]])), Audit[[#This Row],[Audit Candidate 6]]-Audit[[#This Row],[Candidate 6]], "")</f>
        <v/>
      </c>
      <c r="AK209" s="114" t="str">
        <f>IF(NOT(ISBLANK(Audit[[#This Row],[Audit Candidate 7]])), Audit[[#This Row],[Audit Candidate 7]]-Audit[[#This Row],[Candidate 7]], "")</f>
        <v/>
      </c>
      <c r="AL209" s="114" t="str">
        <f>IF(NOT(ISBLANK(Audit[[#This Row],[Audit Candidate 8]])), Audit[[#This Row],[Audit Candidate 8]]-Audit[[#This Row],[Candidate 8]], "")</f>
        <v/>
      </c>
      <c r="AM209" s="114" t="str">
        <f>IF(NOT(ISBLANK(Audit[[#This Row],[Audit Candidate 9]])), Audit[[#This Row],[Audit Candidate 9]]-Audit[[#This Row],[Candidate 9]], "")</f>
        <v/>
      </c>
      <c r="AN209" s="114" t="str">
        <f>IF(NOT(ISBLANK(Audit[[#This Row],[Audit Candidate 10]])), Audit[[#This Row],[Audit Candidate 10]]-Audit[[#This Row],[Candidate 10]], "")</f>
        <v/>
      </c>
      <c r="AO209" s="114" t="str">
        <f>IF(NOT(ISBLANK(Audit[[#This Row],[Audit Candidate 11]])), Audit[[#This Row],[Audit Candidate 11]]-Audit[[#This Row],[Candidate 11]], "")</f>
        <v/>
      </c>
      <c r="AP209" s="114" t="str">
        <f>IF(NOT(ISBLANK(Audit[[#This Row],[Audit Candidate 12]])), Audit[[#This Row],[Audit Candidate 12]]-Audit[[#This Row],[Candidate 12]], "")</f>
        <v/>
      </c>
      <c r="AQ209" s="114">
        <f>SUMIF(Audit[[#This Row],[Difference Winner]:[Difference Candidate 12]], "&gt;0")</f>
        <v>0</v>
      </c>
      <c r="AR209" s="114">
        <f>SUM(Audit[[#This Row],[Difference Winner]:[Difference Candidate 12]])</f>
        <v>0</v>
      </c>
      <c r="AS209" s="114">
        <f>IF(Audit[[#This Row],[Times p Drawn - With Replacement]]&gt;0, IF(Audit[[#This Row],[Canceled Differences]]&lt;0, Audit[[#This Row],[Max Differences]]+ABS(Audit[[#This Row],[Canceled Differences]]), Audit[[#This Row],[Max Differences]]), 0)</f>
        <v>0</v>
      </c>
      <c r="AT209" s="114">
        <f>'Sampling Data'!AB209</f>
        <v>1.5548953922002402E-2</v>
      </c>
      <c r="AU209" s="114">
        <f>IF(
      SUM(Audit[[#This Row],[Audit Losing Candidate]:[Audit Candidate 12]])
      &lt;&gt;0,
      (Audit[[#This Row],[Winning Candidate]]-Audit[[#This Row],[Losing Candidate]]-(Audit[[#This Row],[Audit Winning Candidate]]-Audit[[#This Row],[Audit Losing Candidate]]))/(Audit[[#Totals],[Winning Candidate]]-Audit[[#Totals],[Losing Candidate]]),
      0
)</f>
        <v>0</v>
      </c>
      <c r="AV2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9" s="114">
        <f>IF(Audit[[#This Row],[Max Relative Error (ep)]] = 0, 0, Audit[[#This Row],[Max Relative Error (ep)]]/Audit[[#This Row],[Error Bound (up) - Max. possible relative overstatement]])</f>
        <v>0</v>
      </c>
      <c r="BH2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09" s="114">
        <f t="shared" si="4"/>
        <v>1</v>
      </c>
      <c r="BJ209" s="114">
        <f>PRODUCT($BI$5:BI209)</f>
        <v>0.20973752198051165</v>
      </c>
      <c r="BK209" s="112">
        <f>1 - Audit[[#This Row],[K-M P Value]]</f>
        <v>0.79026247801948835</v>
      </c>
      <c r="BL209" s="114" t="str">
        <f>IF(Audit[[#This Row],[K-M P Value]]&gt;1-'General Info'!$B$12,"Continue", "Stop")</f>
        <v>Continue</v>
      </c>
      <c r="BM209" s="113" t="b">
        <f>IF(Audit[[#This Row],[Status - Continue or stop audit]] = "Continue", TRUE, IF(BL208 = "Continue", TRUE, FALSE))</f>
        <v>1</v>
      </c>
      <c r="BN209" s="113"/>
    </row>
    <row r="210" spans="1:66" ht="15" hidden="1" customHeight="1" x14ac:dyDescent="0.35">
      <c r="A210" s="114" t="str">
        <f>'Sampling Data'!AI210</f>
        <v/>
      </c>
      <c r="B210" s="114" t="str">
        <f>'Sampling Data'!A210</f>
        <v>0203 CIN 2-C   (ED)</v>
      </c>
      <c r="C210" s="114">
        <f>'Sampling Data'!B210</f>
        <v>43</v>
      </c>
      <c r="D210" s="114">
        <f>'Sampling Data'!C210</f>
        <v>5</v>
      </c>
      <c r="E210" s="115">
        <f>'Sampling Data'!D210</f>
        <v>0</v>
      </c>
      <c r="F210" s="115">
        <f>'Sampling Data'!E210</f>
        <v>0</v>
      </c>
      <c r="G210" s="115">
        <f>'Sampling Data'!F210</f>
        <v>0</v>
      </c>
      <c r="H210" s="115">
        <f>'Sampling Data'!G210</f>
        <v>0</v>
      </c>
      <c r="I210" s="115">
        <f>'Sampling Data'!H210</f>
        <v>0</v>
      </c>
      <c r="J210" s="115">
        <f>'Sampling Data'!I210</f>
        <v>0</v>
      </c>
      <c r="K210" s="115">
        <f>'Sampling Data'!J210</f>
        <v>0</v>
      </c>
      <c r="L210" s="115">
        <f>'Sampling Data'!K210</f>
        <v>0</v>
      </c>
      <c r="M210" s="115">
        <f>'Sampling Data'!L210</f>
        <v>0</v>
      </c>
      <c r="N210" s="115">
        <f>'Sampling Data'!M210</f>
        <v>0</v>
      </c>
      <c r="O210" s="114">
        <f>'Sampling Data'!N210</f>
        <v>0</v>
      </c>
      <c r="P210" s="114">
        <f>'Sampling Data'!O210</f>
        <v>0</v>
      </c>
      <c r="Q210" s="114">
        <f>'Sampling Data'!P210</f>
        <v>48</v>
      </c>
      <c r="R210" s="114">
        <f>'Sampling Data'!AJ210</f>
        <v>0</v>
      </c>
      <c r="S210" s="116"/>
      <c r="T210" s="116"/>
      <c r="U210" s="117"/>
      <c r="V210" s="117"/>
      <c r="W210" s="116"/>
      <c r="X210" s="116"/>
      <c r="Y210" s="116"/>
      <c r="Z210" s="116"/>
      <c r="AA210" s="15"/>
      <c r="AB210" s="15"/>
      <c r="AC210" s="15"/>
      <c r="AD210" s="15"/>
      <c r="AE210" s="118" t="str">
        <f>IF(NOT(ISBLANK(Audit[[#This Row],[Audit Winning Candidate]])), Audit[[#This Row],[Audit Winning Candidate]]-Audit[[#This Row],[Winning Candidate]], "")</f>
        <v/>
      </c>
      <c r="AF210" s="114" t="str">
        <f>IF(NOT(ISBLANK(Audit[[#This Row],[Audit Losing Candidate]])), Audit[[#This Row],[Audit Losing Candidate]]-Audit[[#This Row],[Losing Candidate]], "")</f>
        <v/>
      </c>
      <c r="AG210" s="114" t="str">
        <f>IF(NOT(ISBLANK(Audit[[#This Row],[Audit Candidate 3]])), Audit[[#This Row],[Audit Candidate 3]]-Audit[[#This Row],[Candidate 3]], "")</f>
        <v/>
      </c>
      <c r="AH210" s="114" t="str">
        <f>IF(NOT(ISBLANK(Audit[[#This Row],[Audit Candidate 4]])),Audit[[#This Row],[Audit Candidate 4]]-Audit[[#This Row],[Candidate 4]], "")</f>
        <v/>
      </c>
      <c r="AI210" s="114" t="str">
        <f>IF(NOT(ISBLANK(Audit[[#This Row],[Audit Candidate 5]])), Audit[[#This Row],[Audit Candidate 5]]-Audit[[#This Row],[Candidate 5]], "")</f>
        <v/>
      </c>
      <c r="AJ210" s="114" t="str">
        <f>IF(NOT(ISBLANK(Audit[[#This Row],[Audit Candidate 6]])), Audit[[#This Row],[Audit Candidate 6]]-Audit[[#This Row],[Candidate 6]], "")</f>
        <v/>
      </c>
      <c r="AK210" s="114" t="str">
        <f>IF(NOT(ISBLANK(Audit[[#This Row],[Audit Candidate 7]])), Audit[[#This Row],[Audit Candidate 7]]-Audit[[#This Row],[Candidate 7]], "")</f>
        <v/>
      </c>
      <c r="AL210" s="114" t="str">
        <f>IF(NOT(ISBLANK(Audit[[#This Row],[Audit Candidate 8]])), Audit[[#This Row],[Audit Candidate 8]]-Audit[[#This Row],[Candidate 8]], "")</f>
        <v/>
      </c>
      <c r="AM210" s="114" t="str">
        <f>IF(NOT(ISBLANK(Audit[[#This Row],[Audit Candidate 9]])), Audit[[#This Row],[Audit Candidate 9]]-Audit[[#This Row],[Candidate 9]], "")</f>
        <v/>
      </c>
      <c r="AN210" s="114" t="str">
        <f>IF(NOT(ISBLANK(Audit[[#This Row],[Audit Candidate 10]])), Audit[[#This Row],[Audit Candidate 10]]-Audit[[#This Row],[Candidate 10]], "")</f>
        <v/>
      </c>
      <c r="AO210" s="114" t="str">
        <f>IF(NOT(ISBLANK(Audit[[#This Row],[Audit Candidate 11]])), Audit[[#This Row],[Audit Candidate 11]]-Audit[[#This Row],[Candidate 11]], "")</f>
        <v/>
      </c>
      <c r="AP210" s="114" t="str">
        <f>IF(NOT(ISBLANK(Audit[[#This Row],[Audit Candidate 12]])), Audit[[#This Row],[Audit Candidate 12]]-Audit[[#This Row],[Candidate 12]], "")</f>
        <v/>
      </c>
      <c r="AQ210" s="114">
        <f>SUMIF(Audit[[#This Row],[Difference Winner]:[Difference Candidate 12]], "&gt;0")</f>
        <v>0</v>
      </c>
      <c r="AR210" s="114">
        <f>SUM(Audit[[#This Row],[Difference Winner]:[Difference Candidate 12]])</f>
        <v>0</v>
      </c>
      <c r="AS210" s="114">
        <f>IF(Audit[[#This Row],[Times p Drawn - With Replacement]]&gt;0, IF(Audit[[#This Row],[Canceled Differences]]&lt;0, Audit[[#This Row],[Max Differences]]+ABS(Audit[[#This Row],[Canceled Differences]]), Audit[[#This Row],[Max Differences]]), 0)</f>
        <v>0</v>
      </c>
      <c r="AT210" s="114">
        <f>'Sampling Data'!AB210</f>
        <v>5.4358131597244171E-3</v>
      </c>
      <c r="AU210" s="114">
        <f>IF(
      SUM(Audit[[#This Row],[Audit Losing Candidate]:[Audit Candidate 12]])
      &lt;&gt;0,
      (Audit[[#This Row],[Winning Candidate]]-Audit[[#This Row],[Losing Candidate]]-(Audit[[#This Row],[Audit Winning Candidate]]-Audit[[#This Row],[Audit Losing Candidate]]))/(Audit[[#Totals],[Winning Candidate]]-Audit[[#Totals],[Losing Candidate]]),
      0
)</f>
        <v>0</v>
      </c>
      <c r="AV2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0" s="114">
        <f>IF(Audit[[#This Row],[Max Relative Error (ep)]] = 0, 0, Audit[[#This Row],[Max Relative Error (ep)]]/Audit[[#This Row],[Error Bound (up) - Max. possible relative overstatement]])</f>
        <v>0</v>
      </c>
      <c r="BH2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0" s="114">
        <f t="shared" si="4"/>
        <v>1</v>
      </c>
      <c r="BJ210" s="114">
        <f>PRODUCT($BI$5:BI210)</f>
        <v>0.20973752198051165</v>
      </c>
      <c r="BK210" s="112">
        <f>1 - Audit[[#This Row],[K-M P Value]]</f>
        <v>0.79026247801948835</v>
      </c>
      <c r="BL210" s="114" t="str">
        <f>IF(Audit[[#This Row],[K-M P Value]]&gt;1-'General Info'!$B$12,"Continue", "Stop")</f>
        <v>Continue</v>
      </c>
      <c r="BM210" s="113" t="b">
        <f>IF(Audit[[#This Row],[Status - Continue or stop audit]] = "Continue", TRUE, IF(BL209 = "Continue", TRUE, FALSE))</f>
        <v>1</v>
      </c>
      <c r="BN210" s="113"/>
    </row>
    <row r="211" spans="1:66" ht="15" hidden="1" customHeight="1" x14ac:dyDescent="0.35">
      <c r="A211" s="114" t="str">
        <f>'Sampling Data'!AI211</f>
        <v/>
      </c>
      <c r="B211" s="114" t="str">
        <f>'Sampling Data'!A211</f>
        <v>0204 CIN 2-D   (ED)</v>
      </c>
      <c r="C211" s="114">
        <f>'Sampling Data'!B211</f>
        <v>98</v>
      </c>
      <c r="D211" s="114">
        <f>'Sampling Data'!C211</f>
        <v>12</v>
      </c>
      <c r="E211" s="115">
        <f>'Sampling Data'!D211</f>
        <v>4</v>
      </c>
      <c r="F211" s="115">
        <f>'Sampling Data'!E211</f>
        <v>0</v>
      </c>
      <c r="G211" s="115">
        <f>'Sampling Data'!F211</f>
        <v>0</v>
      </c>
      <c r="H211" s="115">
        <f>'Sampling Data'!G211</f>
        <v>0</v>
      </c>
      <c r="I211" s="115">
        <f>'Sampling Data'!H211</f>
        <v>0</v>
      </c>
      <c r="J211" s="115">
        <f>'Sampling Data'!I211</f>
        <v>0</v>
      </c>
      <c r="K211" s="115">
        <f>'Sampling Data'!J211</f>
        <v>0</v>
      </c>
      <c r="L211" s="115">
        <f>'Sampling Data'!K211</f>
        <v>0</v>
      </c>
      <c r="M211" s="115">
        <f>'Sampling Data'!L211</f>
        <v>0</v>
      </c>
      <c r="N211" s="115">
        <f>'Sampling Data'!M211</f>
        <v>0</v>
      </c>
      <c r="O211" s="114">
        <f>'Sampling Data'!N211</f>
        <v>0</v>
      </c>
      <c r="P211" s="114">
        <f>'Sampling Data'!O211</f>
        <v>1</v>
      </c>
      <c r="Q211" s="114">
        <f>'Sampling Data'!P211</f>
        <v>115</v>
      </c>
      <c r="R211" s="114">
        <f>'Sampling Data'!AJ211</f>
        <v>0</v>
      </c>
      <c r="S211" s="116"/>
      <c r="T211" s="116"/>
      <c r="U211" s="117"/>
      <c r="V211" s="117"/>
      <c r="W211" s="116"/>
      <c r="X211" s="116"/>
      <c r="Y211" s="116"/>
      <c r="Z211" s="116"/>
      <c r="AA211" s="15"/>
      <c r="AB211" s="15"/>
      <c r="AC211" s="15"/>
      <c r="AD211" s="15"/>
      <c r="AE211" s="118" t="str">
        <f>IF(NOT(ISBLANK(Audit[[#This Row],[Audit Winning Candidate]])), Audit[[#This Row],[Audit Winning Candidate]]-Audit[[#This Row],[Winning Candidate]], "")</f>
        <v/>
      </c>
      <c r="AF211" s="114" t="str">
        <f>IF(NOT(ISBLANK(Audit[[#This Row],[Audit Losing Candidate]])), Audit[[#This Row],[Audit Losing Candidate]]-Audit[[#This Row],[Losing Candidate]], "")</f>
        <v/>
      </c>
      <c r="AG211" s="114" t="str">
        <f>IF(NOT(ISBLANK(Audit[[#This Row],[Audit Candidate 3]])), Audit[[#This Row],[Audit Candidate 3]]-Audit[[#This Row],[Candidate 3]], "")</f>
        <v/>
      </c>
      <c r="AH211" s="114" t="str">
        <f>IF(NOT(ISBLANK(Audit[[#This Row],[Audit Candidate 4]])),Audit[[#This Row],[Audit Candidate 4]]-Audit[[#This Row],[Candidate 4]], "")</f>
        <v/>
      </c>
      <c r="AI211" s="114" t="str">
        <f>IF(NOT(ISBLANK(Audit[[#This Row],[Audit Candidate 5]])), Audit[[#This Row],[Audit Candidate 5]]-Audit[[#This Row],[Candidate 5]], "")</f>
        <v/>
      </c>
      <c r="AJ211" s="114" t="str">
        <f>IF(NOT(ISBLANK(Audit[[#This Row],[Audit Candidate 6]])), Audit[[#This Row],[Audit Candidate 6]]-Audit[[#This Row],[Candidate 6]], "")</f>
        <v/>
      </c>
      <c r="AK211" s="114" t="str">
        <f>IF(NOT(ISBLANK(Audit[[#This Row],[Audit Candidate 7]])), Audit[[#This Row],[Audit Candidate 7]]-Audit[[#This Row],[Candidate 7]], "")</f>
        <v/>
      </c>
      <c r="AL211" s="114" t="str">
        <f>IF(NOT(ISBLANK(Audit[[#This Row],[Audit Candidate 8]])), Audit[[#This Row],[Audit Candidate 8]]-Audit[[#This Row],[Candidate 8]], "")</f>
        <v/>
      </c>
      <c r="AM211" s="114" t="str">
        <f>IF(NOT(ISBLANK(Audit[[#This Row],[Audit Candidate 9]])), Audit[[#This Row],[Audit Candidate 9]]-Audit[[#This Row],[Candidate 9]], "")</f>
        <v/>
      </c>
      <c r="AN211" s="114" t="str">
        <f>IF(NOT(ISBLANK(Audit[[#This Row],[Audit Candidate 10]])), Audit[[#This Row],[Audit Candidate 10]]-Audit[[#This Row],[Candidate 10]], "")</f>
        <v/>
      </c>
      <c r="AO211" s="114" t="str">
        <f>IF(NOT(ISBLANK(Audit[[#This Row],[Audit Candidate 11]])), Audit[[#This Row],[Audit Candidate 11]]-Audit[[#This Row],[Candidate 11]], "")</f>
        <v/>
      </c>
      <c r="AP211" s="114" t="str">
        <f>IF(NOT(ISBLANK(Audit[[#This Row],[Audit Candidate 12]])), Audit[[#This Row],[Audit Candidate 12]]-Audit[[#This Row],[Candidate 12]], "")</f>
        <v/>
      </c>
      <c r="AQ211" s="114">
        <f>SUMIF(Audit[[#This Row],[Difference Winner]:[Difference Candidate 12]], "&gt;0")</f>
        <v>0</v>
      </c>
      <c r="AR211" s="114">
        <f>SUM(Audit[[#This Row],[Difference Winner]:[Difference Candidate 12]])</f>
        <v>0</v>
      </c>
      <c r="AS211" s="114">
        <f>IF(Audit[[#This Row],[Times p Drawn - With Replacement]]&gt;0, IF(Audit[[#This Row],[Canceled Differences]]&lt;0, Audit[[#This Row],[Max Differences]]+ABS(Audit[[#This Row],[Canceled Differences]]), Audit[[#This Row],[Max Differences]]), 0)</f>
        <v>0</v>
      </c>
      <c r="AT211" s="114">
        <f>'Sampling Data'!AB211</f>
        <v>1.2704633082611719E-2</v>
      </c>
      <c r="AU211" s="114">
        <f>IF(
      SUM(Audit[[#This Row],[Audit Losing Candidate]:[Audit Candidate 12]])
      &lt;&gt;0,
      (Audit[[#This Row],[Winning Candidate]]-Audit[[#This Row],[Losing Candidate]]-(Audit[[#This Row],[Audit Winning Candidate]]-Audit[[#This Row],[Audit Losing Candidate]]))/(Audit[[#Totals],[Winning Candidate]]-Audit[[#Totals],[Losing Candidate]]),
      0
)</f>
        <v>0</v>
      </c>
      <c r="AV2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1" s="114">
        <f>IF(Audit[[#This Row],[Max Relative Error (ep)]] = 0, 0, Audit[[#This Row],[Max Relative Error (ep)]]/Audit[[#This Row],[Error Bound (up) - Max. possible relative overstatement]])</f>
        <v>0</v>
      </c>
      <c r="BH2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1" s="114">
        <f t="shared" si="4"/>
        <v>1</v>
      </c>
      <c r="BJ211" s="114">
        <f>PRODUCT($BI$5:BI211)</f>
        <v>0.20973752198051165</v>
      </c>
      <c r="BK211" s="112">
        <f>1 - Audit[[#This Row],[K-M P Value]]</f>
        <v>0.79026247801948835</v>
      </c>
      <c r="BL211" s="114" t="str">
        <f>IF(Audit[[#This Row],[K-M P Value]]&gt;1-'General Info'!$B$12,"Continue", "Stop")</f>
        <v>Continue</v>
      </c>
      <c r="BM211" s="113" t="b">
        <f>IF(Audit[[#This Row],[Status - Continue or stop audit]] = "Continue", TRUE, IF(BL210 = "Continue", TRUE, FALSE))</f>
        <v>1</v>
      </c>
      <c r="BN211" s="113"/>
    </row>
    <row r="212" spans="1:66" ht="15" hidden="1" customHeight="1" x14ac:dyDescent="0.35">
      <c r="A212" s="114" t="str">
        <f>'Sampling Data'!AI212</f>
        <v/>
      </c>
      <c r="B212" s="114" t="str">
        <f>'Sampling Data'!A212</f>
        <v>0205 CIN 2-E   (ED)</v>
      </c>
      <c r="C212" s="114">
        <f>'Sampling Data'!B212</f>
        <v>101</v>
      </c>
      <c r="D212" s="114">
        <f>'Sampling Data'!C212</f>
        <v>16</v>
      </c>
      <c r="E212" s="115">
        <f>'Sampling Data'!D212</f>
        <v>8</v>
      </c>
      <c r="F212" s="115">
        <f>'Sampling Data'!E212</f>
        <v>0</v>
      </c>
      <c r="G212" s="115">
        <f>'Sampling Data'!F212</f>
        <v>0</v>
      </c>
      <c r="H212" s="115">
        <f>'Sampling Data'!G212</f>
        <v>0</v>
      </c>
      <c r="I212" s="115">
        <f>'Sampling Data'!H212</f>
        <v>0</v>
      </c>
      <c r="J212" s="115">
        <f>'Sampling Data'!I212</f>
        <v>0</v>
      </c>
      <c r="K212" s="115">
        <f>'Sampling Data'!J212</f>
        <v>0</v>
      </c>
      <c r="L212" s="115">
        <f>'Sampling Data'!K212</f>
        <v>0</v>
      </c>
      <c r="M212" s="115">
        <f>'Sampling Data'!L212</f>
        <v>0</v>
      </c>
      <c r="N212" s="115">
        <f>'Sampling Data'!M212</f>
        <v>0</v>
      </c>
      <c r="O212" s="114">
        <f>'Sampling Data'!N212</f>
        <v>0</v>
      </c>
      <c r="P212" s="114">
        <f>'Sampling Data'!O212</f>
        <v>0</v>
      </c>
      <c r="Q212" s="114">
        <f>'Sampling Data'!P212</f>
        <v>125</v>
      </c>
      <c r="R212" s="114">
        <f>'Sampling Data'!AJ212</f>
        <v>0</v>
      </c>
      <c r="S212" s="116"/>
      <c r="T212" s="116"/>
      <c r="U212" s="117"/>
      <c r="V212" s="117"/>
      <c r="W212" s="116"/>
      <c r="X212" s="116"/>
      <c r="Y212" s="116"/>
      <c r="Z212" s="116"/>
      <c r="AA212" s="15"/>
      <c r="AB212" s="15"/>
      <c r="AC212" s="15"/>
      <c r="AD212" s="15"/>
      <c r="AE212" s="118" t="str">
        <f>IF(NOT(ISBLANK(Audit[[#This Row],[Audit Winning Candidate]])), Audit[[#This Row],[Audit Winning Candidate]]-Audit[[#This Row],[Winning Candidate]], "")</f>
        <v/>
      </c>
      <c r="AF212" s="114" t="str">
        <f>IF(NOT(ISBLANK(Audit[[#This Row],[Audit Losing Candidate]])), Audit[[#This Row],[Audit Losing Candidate]]-Audit[[#This Row],[Losing Candidate]], "")</f>
        <v/>
      </c>
      <c r="AG212" s="114" t="str">
        <f>IF(NOT(ISBLANK(Audit[[#This Row],[Audit Candidate 3]])), Audit[[#This Row],[Audit Candidate 3]]-Audit[[#This Row],[Candidate 3]], "")</f>
        <v/>
      </c>
      <c r="AH212" s="114" t="str">
        <f>IF(NOT(ISBLANK(Audit[[#This Row],[Audit Candidate 4]])),Audit[[#This Row],[Audit Candidate 4]]-Audit[[#This Row],[Candidate 4]], "")</f>
        <v/>
      </c>
      <c r="AI212" s="114" t="str">
        <f>IF(NOT(ISBLANK(Audit[[#This Row],[Audit Candidate 5]])), Audit[[#This Row],[Audit Candidate 5]]-Audit[[#This Row],[Candidate 5]], "")</f>
        <v/>
      </c>
      <c r="AJ212" s="114" t="str">
        <f>IF(NOT(ISBLANK(Audit[[#This Row],[Audit Candidate 6]])), Audit[[#This Row],[Audit Candidate 6]]-Audit[[#This Row],[Candidate 6]], "")</f>
        <v/>
      </c>
      <c r="AK212" s="114" t="str">
        <f>IF(NOT(ISBLANK(Audit[[#This Row],[Audit Candidate 7]])), Audit[[#This Row],[Audit Candidate 7]]-Audit[[#This Row],[Candidate 7]], "")</f>
        <v/>
      </c>
      <c r="AL212" s="114" t="str">
        <f>IF(NOT(ISBLANK(Audit[[#This Row],[Audit Candidate 8]])), Audit[[#This Row],[Audit Candidate 8]]-Audit[[#This Row],[Candidate 8]], "")</f>
        <v/>
      </c>
      <c r="AM212" s="114" t="str">
        <f>IF(NOT(ISBLANK(Audit[[#This Row],[Audit Candidate 9]])), Audit[[#This Row],[Audit Candidate 9]]-Audit[[#This Row],[Candidate 9]], "")</f>
        <v/>
      </c>
      <c r="AN212" s="114" t="str">
        <f>IF(NOT(ISBLANK(Audit[[#This Row],[Audit Candidate 10]])), Audit[[#This Row],[Audit Candidate 10]]-Audit[[#This Row],[Candidate 10]], "")</f>
        <v/>
      </c>
      <c r="AO212" s="114" t="str">
        <f>IF(NOT(ISBLANK(Audit[[#This Row],[Audit Candidate 11]])), Audit[[#This Row],[Audit Candidate 11]]-Audit[[#This Row],[Candidate 11]], "")</f>
        <v/>
      </c>
      <c r="AP212" s="114" t="str">
        <f>IF(NOT(ISBLANK(Audit[[#This Row],[Audit Candidate 12]])), Audit[[#This Row],[Audit Candidate 12]]-Audit[[#This Row],[Candidate 12]], "")</f>
        <v/>
      </c>
      <c r="AQ212" s="114">
        <f>SUMIF(Audit[[#This Row],[Difference Winner]:[Difference Candidate 12]], "&gt;0")</f>
        <v>0</v>
      </c>
      <c r="AR212" s="114">
        <f>SUM(Audit[[#This Row],[Difference Winner]:[Difference Candidate 12]])</f>
        <v>0</v>
      </c>
      <c r="AS212" s="114">
        <f>IF(Audit[[#This Row],[Times p Drawn - With Replacement]]&gt;0, IF(Audit[[#This Row],[Canceled Differences]]&lt;0, Audit[[#This Row],[Max Differences]]+ABS(Audit[[#This Row],[Canceled Differences]]), Audit[[#This Row],[Max Differences]]), 0)</f>
        <v>0</v>
      </c>
      <c r="AT212" s="114">
        <f>'Sampling Data'!AB212</f>
        <v>1.3273497250489855E-2</v>
      </c>
      <c r="AU212" s="114">
        <f>IF(
      SUM(Audit[[#This Row],[Audit Losing Candidate]:[Audit Candidate 12]])
      &lt;&gt;0,
      (Audit[[#This Row],[Winning Candidate]]-Audit[[#This Row],[Losing Candidate]]-(Audit[[#This Row],[Audit Winning Candidate]]-Audit[[#This Row],[Audit Losing Candidate]]))/(Audit[[#Totals],[Winning Candidate]]-Audit[[#Totals],[Losing Candidate]]),
      0
)</f>
        <v>0</v>
      </c>
      <c r="AV2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2" s="114">
        <f>IF(Audit[[#This Row],[Max Relative Error (ep)]] = 0, 0, Audit[[#This Row],[Max Relative Error (ep)]]/Audit[[#This Row],[Error Bound (up) - Max. possible relative overstatement]])</f>
        <v>0</v>
      </c>
      <c r="BH2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2" s="114">
        <f t="shared" si="4"/>
        <v>1</v>
      </c>
      <c r="BJ212" s="114">
        <f>PRODUCT($BI$5:BI212)</f>
        <v>0.20973752198051165</v>
      </c>
      <c r="BK212" s="112">
        <f>1 - Audit[[#This Row],[K-M P Value]]</f>
        <v>0.79026247801948835</v>
      </c>
      <c r="BL212" s="114" t="str">
        <f>IF(Audit[[#This Row],[K-M P Value]]&gt;1-'General Info'!$B$12,"Continue", "Stop")</f>
        <v>Continue</v>
      </c>
      <c r="BM212" s="113" t="b">
        <f>IF(Audit[[#This Row],[Status - Continue or stop audit]] = "Continue", TRUE, IF(BL211 = "Continue", TRUE, FALSE))</f>
        <v>1</v>
      </c>
      <c r="BN212" s="113"/>
    </row>
    <row r="213" spans="1:66" ht="15" hidden="1" customHeight="1" x14ac:dyDescent="0.35">
      <c r="A213" s="114" t="str">
        <f>'Sampling Data'!AI213</f>
        <v/>
      </c>
      <c r="B213" s="114" t="str">
        <f>'Sampling Data'!A213</f>
        <v>0206 CIN 2-F   (ED)</v>
      </c>
      <c r="C213" s="114">
        <f>'Sampling Data'!B213</f>
        <v>138</v>
      </c>
      <c r="D213" s="114">
        <f>'Sampling Data'!C213</f>
        <v>18</v>
      </c>
      <c r="E213" s="115">
        <f>'Sampling Data'!D213</f>
        <v>3</v>
      </c>
      <c r="F213" s="115">
        <f>'Sampling Data'!E213</f>
        <v>0</v>
      </c>
      <c r="G213" s="115">
        <f>'Sampling Data'!F213</f>
        <v>0</v>
      </c>
      <c r="H213" s="115">
        <f>'Sampling Data'!G213</f>
        <v>0</v>
      </c>
      <c r="I213" s="115">
        <f>'Sampling Data'!H213</f>
        <v>0</v>
      </c>
      <c r="J213" s="115">
        <f>'Sampling Data'!I213</f>
        <v>0</v>
      </c>
      <c r="K213" s="115">
        <f>'Sampling Data'!J213</f>
        <v>0</v>
      </c>
      <c r="L213" s="115">
        <f>'Sampling Data'!K213</f>
        <v>0</v>
      </c>
      <c r="M213" s="115">
        <f>'Sampling Data'!L213</f>
        <v>0</v>
      </c>
      <c r="N213" s="115">
        <f>'Sampling Data'!M213</f>
        <v>0</v>
      </c>
      <c r="O213" s="114">
        <f>'Sampling Data'!N213</f>
        <v>0</v>
      </c>
      <c r="P213" s="114">
        <f>'Sampling Data'!O213</f>
        <v>0</v>
      </c>
      <c r="Q213" s="114">
        <f>'Sampling Data'!P213</f>
        <v>159</v>
      </c>
      <c r="R213" s="114">
        <f>'Sampling Data'!AJ213</f>
        <v>0</v>
      </c>
      <c r="S213" s="116"/>
      <c r="T213" s="116"/>
      <c r="U213" s="117"/>
      <c r="V213" s="117"/>
      <c r="W213" s="116"/>
      <c r="X213" s="116"/>
      <c r="Y213" s="116"/>
      <c r="Z213" s="116"/>
      <c r="AA213" s="15"/>
      <c r="AB213" s="15"/>
      <c r="AC213" s="15"/>
      <c r="AD213" s="15"/>
      <c r="AE213" s="118" t="str">
        <f>IF(NOT(ISBLANK(Audit[[#This Row],[Audit Winning Candidate]])), Audit[[#This Row],[Audit Winning Candidate]]-Audit[[#This Row],[Winning Candidate]], "")</f>
        <v/>
      </c>
      <c r="AF213" s="114" t="str">
        <f>IF(NOT(ISBLANK(Audit[[#This Row],[Audit Losing Candidate]])), Audit[[#This Row],[Audit Losing Candidate]]-Audit[[#This Row],[Losing Candidate]], "")</f>
        <v/>
      </c>
      <c r="AG213" s="114" t="str">
        <f>IF(NOT(ISBLANK(Audit[[#This Row],[Audit Candidate 3]])), Audit[[#This Row],[Audit Candidate 3]]-Audit[[#This Row],[Candidate 3]], "")</f>
        <v/>
      </c>
      <c r="AH213" s="114" t="str">
        <f>IF(NOT(ISBLANK(Audit[[#This Row],[Audit Candidate 4]])),Audit[[#This Row],[Audit Candidate 4]]-Audit[[#This Row],[Candidate 4]], "")</f>
        <v/>
      </c>
      <c r="AI213" s="114" t="str">
        <f>IF(NOT(ISBLANK(Audit[[#This Row],[Audit Candidate 5]])), Audit[[#This Row],[Audit Candidate 5]]-Audit[[#This Row],[Candidate 5]], "")</f>
        <v/>
      </c>
      <c r="AJ213" s="114" t="str">
        <f>IF(NOT(ISBLANK(Audit[[#This Row],[Audit Candidate 6]])), Audit[[#This Row],[Audit Candidate 6]]-Audit[[#This Row],[Candidate 6]], "")</f>
        <v/>
      </c>
      <c r="AK213" s="114" t="str">
        <f>IF(NOT(ISBLANK(Audit[[#This Row],[Audit Candidate 7]])), Audit[[#This Row],[Audit Candidate 7]]-Audit[[#This Row],[Candidate 7]], "")</f>
        <v/>
      </c>
      <c r="AL213" s="114" t="str">
        <f>IF(NOT(ISBLANK(Audit[[#This Row],[Audit Candidate 8]])), Audit[[#This Row],[Audit Candidate 8]]-Audit[[#This Row],[Candidate 8]], "")</f>
        <v/>
      </c>
      <c r="AM213" s="114" t="str">
        <f>IF(NOT(ISBLANK(Audit[[#This Row],[Audit Candidate 9]])), Audit[[#This Row],[Audit Candidate 9]]-Audit[[#This Row],[Candidate 9]], "")</f>
        <v/>
      </c>
      <c r="AN213" s="114" t="str">
        <f>IF(NOT(ISBLANK(Audit[[#This Row],[Audit Candidate 10]])), Audit[[#This Row],[Audit Candidate 10]]-Audit[[#This Row],[Candidate 10]], "")</f>
        <v/>
      </c>
      <c r="AO213" s="114" t="str">
        <f>IF(NOT(ISBLANK(Audit[[#This Row],[Audit Candidate 11]])), Audit[[#This Row],[Audit Candidate 11]]-Audit[[#This Row],[Candidate 11]], "")</f>
        <v/>
      </c>
      <c r="AP213" s="114" t="str">
        <f>IF(NOT(ISBLANK(Audit[[#This Row],[Audit Candidate 12]])), Audit[[#This Row],[Audit Candidate 12]]-Audit[[#This Row],[Candidate 12]], "")</f>
        <v/>
      </c>
      <c r="AQ213" s="114">
        <f>SUMIF(Audit[[#This Row],[Difference Winner]:[Difference Candidate 12]], "&gt;0")</f>
        <v>0</v>
      </c>
      <c r="AR213" s="114">
        <f>SUM(Audit[[#This Row],[Difference Winner]:[Difference Candidate 12]])</f>
        <v>0</v>
      </c>
      <c r="AS213" s="114">
        <f>IF(Audit[[#This Row],[Times p Drawn - With Replacement]]&gt;0, IF(Audit[[#This Row],[Canceled Differences]]&lt;0, Audit[[#This Row],[Max Differences]]+ABS(Audit[[#This Row],[Canceled Differences]]), Audit[[#This Row],[Max Differences]]), 0)</f>
        <v>0</v>
      </c>
      <c r="AT213" s="114">
        <f>'Sampling Data'!AB213</f>
        <v>1.7634789204222238E-2</v>
      </c>
      <c r="AU213" s="114">
        <f>IF(
      SUM(Audit[[#This Row],[Audit Losing Candidate]:[Audit Candidate 12]])
      &lt;&gt;0,
      (Audit[[#This Row],[Winning Candidate]]-Audit[[#This Row],[Losing Candidate]]-(Audit[[#This Row],[Audit Winning Candidate]]-Audit[[#This Row],[Audit Losing Candidate]]))/(Audit[[#Totals],[Winning Candidate]]-Audit[[#Totals],[Losing Candidate]]),
      0
)</f>
        <v>0</v>
      </c>
      <c r="AV2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3" s="114">
        <f>IF(Audit[[#This Row],[Max Relative Error (ep)]] = 0, 0, Audit[[#This Row],[Max Relative Error (ep)]]/Audit[[#This Row],[Error Bound (up) - Max. possible relative overstatement]])</f>
        <v>0</v>
      </c>
      <c r="BH2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3" s="114">
        <f t="shared" si="4"/>
        <v>1</v>
      </c>
      <c r="BJ213" s="114">
        <f>PRODUCT($BI$5:BI213)</f>
        <v>0.20973752198051165</v>
      </c>
      <c r="BK213" s="112">
        <f>1 - Audit[[#This Row],[K-M P Value]]</f>
        <v>0.79026247801948835</v>
      </c>
      <c r="BL213" s="114" t="str">
        <f>IF(Audit[[#This Row],[K-M P Value]]&gt;1-'General Info'!$B$12,"Continue", "Stop")</f>
        <v>Continue</v>
      </c>
      <c r="BM213" s="113" t="b">
        <f>IF(Audit[[#This Row],[Status - Continue or stop audit]] = "Continue", TRUE, IF(BL212 = "Continue", TRUE, FALSE))</f>
        <v>1</v>
      </c>
      <c r="BN213" s="113"/>
    </row>
    <row r="214" spans="1:66" ht="15" hidden="1" customHeight="1" x14ac:dyDescent="0.35">
      <c r="A214" s="114" t="str">
        <f>'Sampling Data'!AI214</f>
        <v/>
      </c>
      <c r="B214" s="114" t="str">
        <f>'Sampling Data'!A214</f>
        <v>0207 CIN 2-G   (ED)</v>
      </c>
      <c r="C214" s="114">
        <f>'Sampling Data'!B214</f>
        <v>67</v>
      </c>
      <c r="D214" s="114">
        <f>'Sampling Data'!C214</f>
        <v>26</v>
      </c>
      <c r="E214" s="115">
        <f>'Sampling Data'!D214</f>
        <v>8</v>
      </c>
      <c r="F214" s="115">
        <f>'Sampling Data'!E214</f>
        <v>0</v>
      </c>
      <c r="G214" s="115">
        <f>'Sampling Data'!F214</f>
        <v>0</v>
      </c>
      <c r="H214" s="115">
        <f>'Sampling Data'!G214</f>
        <v>0</v>
      </c>
      <c r="I214" s="115">
        <f>'Sampling Data'!H214</f>
        <v>0</v>
      </c>
      <c r="J214" s="115">
        <f>'Sampling Data'!I214</f>
        <v>0</v>
      </c>
      <c r="K214" s="115">
        <f>'Sampling Data'!J214</f>
        <v>0</v>
      </c>
      <c r="L214" s="115">
        <f>'Sampling Data'!K214</f>
        <v>0</v>
      </c>
      <c r="M214" s="115">
        <f>'Sampling Data'!L214</f>
        <v>0</v>
      </c>
      <c r="N214" s="115">
        <f>'Sampling Data'!M214</f>
        <v>0</v>
      </c>
      <c r="O214" s="114">
        <f>'Sampling Data'!N214</f>
        <v>1</v>
      </c>
      <c r="P214" s="114">
        <f>'Sampling Data'!O214</f>
        <v>0</v>
      </c>
      <c r="Q214" s="114">
        <f>'Sampling Data'!P214</f>
        <v>102</v>
      </c>
      <c r="R214" s="114">
        <f>'Sampling Data'!AJ214</f>
        <v>0</v>
      </c>
      <c r="S214" s="116"/>
      <c r="T214" s="116"/>
      <c r="U214" s="117"/>
      <c r="V214" s="117"/>
      <c r="W214" s="116"/>
      <c r="X214" s="116"/>
      <c r="Y214" s="116"/>
      <c r="Z214" s="116"/>
      <c r="AA214" s="15"/>
      <c r="AB214" s="15"/>
      <c r="AC214" s="15"/>
      <c r="AD214" s="15"/>
      <c r="AE214" s="118" t="str">
        <f>IF(NOT(ISBLANK(Audit[[#This Row],[Audit Winning Candidate]])), Audit[[#This Row],[Audit Winning Candidate]]-Audit[[#This Row],[Winning Candidate]], "")</f>
        <v/>
      </c>
      <c r="AF214" s="114" t="str">
        <f>IF(NOT(ISBLANK(Audit[[#This Row],[Audit Losing Candidate]])), Audit[[#This Row],[Audit Losing Candidate]]-Audit[[#This Row],[Losing Candidate]], "")</f>
        <v/>
      </c>
      <c r="AG214" s="114" t="str">
        <f>IF(NOT(ISBLANK(Audit[[#This Row],[Audit Candidate 3]])), Audit[[#This Row],[Audit Candidate 3]]-Audit[[#This Row],[Candidate 3]], "")</f>
        <v/>
      </c>
      <c r="AH214" s="114" t="str">
        <f>IF(NOT(ISBLANK(Audit[[#This Row],[Audit Candidate 4]])),Audit[[#This Row],[Audit Candidate 4]]-Audit[[#This Row],[Candidate 4]], "")</f>
        <v/>
      </c>
      <c r="AI214" s="114" t="str">
        <f>IF(NOT(ISBLANK(Audit[[#This Row],[Audit Candidate 5]])), Audit[[#This Row],[Audit Candidate 5]]-Audit[[#This Row],[Candidate 5]], "")</f>
        <v/>
      </c>
      <c r="AJ214" s="114" t="str">
        <f>IF(NOT(ISBLANK(Audit[[#This Row],[Audit Candidate 6]])), Audit[[#This Row],[Audit Candidate 6]]-Audit[[#This Row],[Candidate 6]], "")</f>
        <v/>
      </c>
      <c r="AK214" s="114" t="str">
        <f>IF(NOT(ISBLANK(Audit[[#This Row],[Audit Candidate 7]])), Audit[[#This Row],[Audit Candidate 7]]-Audit[[#This Row],[Candidate 7]], "")</f>
        <v/>
      </c>
      <c r="AL214" s="114" t="str">
        <f>IF(NOT(ISBLANK(Audit[[#This Row],[Audit Candidate 8]])), Audit[[#This Row],[Audit Candidate 8]]-Audit[[#This Row],[Candidate 8]], "")</f>
        <v/>
      </c>
      <c r="AM214" s="114" t="str">
        <f>IF(NOT(ISBLANK(Audit[[#This Row],[Audit Candidate 9]])), Audit[[#This Row],[Audit Candidate 9]]-Audit[[#This Row],[Candidate 9]], "")</f>
        <v/>
      </c>
      <c r="AN214" s="114" t="str">
        <f>IF(NOT(ISBLANK(Audit[[#This Row],[Audit Candidate 10]])), Audit[[#This Row],[Audit Candidate 10]]-Audit[[#This Row],[Candidate 10]], "")</f>
        <v/>
      </c>
      <c r="AO214" s="114" t="str">
        <f>IF(NOT(ISBLANK(Audit[[#This Row],[Audit Candidate 11]])), Audit[[#This Row],[Audit Candidate 11]]-Audit[[#This Row],[Candidate 11]], "")</f>
        <v/>
      </c>
      <c r="AP214" s="114" t="str">
        <f>IF(NOT(ISBLANK(Audit[[#This Row],[Audit Candidate 12]])), Audit[[#This Row],[Audit Candidate 12]]-Audit[[#This Row],[Candidate 12]], "")</f>
        <v/>
      </c>
      <c r="AQ214" s="114">
        <f>SUMIF(Audit[[#This Row],[Difference Winner]:[Difference Candidate 12]], "&gt;0")</f>
        <v>0</v>
      </c>
      <c r="AR214" s="114">
        <f>SUM(Audit[[#This Row],[Difference Winner]:[Difference Candidate 12]])</f>
        <v>0</v>
      </c>
      <c r="AS214" s="114">
        <f>IF(Audit[[#This Row],[Times p Drawn - With Replacement]]&gt;0, IF(Audit[[#This Row],[Canceled Differences]]&lt;0, Audit[[#This Row],[Max Differences]]+ABS(Audit[[#This Row],[Canceled Differences]]), Audit[[#This Row],[Max Differences]]), 0)</f>
        <v>0</v>
      </c>
      <c r="AT214" s="114">
        <f>'Sampling Data'!AB214</f>
        <v>9.0878302099796793E-3</v>
      </c>
      <c r="AU214" s="114">
        <f>IF(
      SUM(Audit[[#This Row],[Audit Losing Candidate]:[Audit Candidate 12]])
      &lt;&gt;0,
      (Audit[[#This Row],[Winning Candidate]]-Audit[[#This Row],[Losing Candidate]]-(Audit[[#This Row],[Audit Winning Candidate]]-Audit[[#This Row],[Audit Losing Candidate]]))/(Audit[[#Totals],[Winning Candidate]]-Audit[[#Totals],[Losing Candidate]]),
      0
)</f>
        <v>0</v>
      </c>
      <c r="AV2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4" s="114">
        <f>IF(Audit[[#This Row],[Max Relative Error (ep)]] = 0, 0, Audit[[#This Row],[Max Relative Error (ep)]]/Audit[[#This Row],[Error Bound (up) - Max. possible relative overstatement]])</f>
        <v>0</v>
      </c>
      <c r="BH2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4" s="114">
        <f t="shared" si="4"/>
        <v>1</v>
      </c>
      <c r="BJ214" s="114">
        <f>PRODUCT($BI$5:BI214)</f>
        <v>0.20973752198051165</v>
      </c>
      <c r="BK214" s="112">
        <f>1 - Audit[[#This Row],[K-M P Value]]</f>
        <v>0.79026247801948835</v>
      </c>
      <c r="BL214" s="114" t="str">
        <f>IF(Audit[[#This Row],[K-M P Value]]&gt;1-'General Info'!$B$12,"Continue", "Stop")</f>
        <v>Continue</v>
      </c>
      <c r="BM214" s="113" t="b">
        <f>IF(Audit[[#This Row],[Status - Continue or stop audit]] = "Continue", TRUE, IF(BL213 = "Continue", TRUE, FALSE))</f>
        <v>1</v>
      </c>
      <c r="BN214" s="113"/>
    </row>
    <row r="215" spans="1:66" ht="15" hidden="1" customHeight="1" x14ac:dyDescent="0.35">
      <c r="A215" s="114" t="str">
        <f>'Sampling Data'!AI215</f>
        <v/>
      </c>
      <c r="B215" s="114" t="str">
        <f>'Sampling Data'!A215</f>
        <v>0208 CIN 2-H   (ED)</v>
      </c>
      <c r="C215" s="114">
        <f>'Sampling Data'!B215</f>
        <v>60</v>
      </c>
      <c r="D215" s="114">
        <f>'Sampling Data'!C215</f>
        <v>8</v>
      </c>
      <c r="E215" s="115">
        <f>'Sampling Data'!D215</f>
        <v>2</v>
      </c>
      <c r="F215" s="115">
        <f>'Sampling Data'!E215</f>
        <v>0</v>
      </c>
      <c r="G215" s="115">
        <f>'Sampling Data'!F215</f>
        <v>0</v>
      </c>
      <c r="H215" s="115">
        <f>'Sampling Data'!G215</f>
        <v>0</v>
      </c>
      <c r="I215" s="115">
        <f>'Sampling Data'!H215</f>
        <v>0</v>
      </c>
      <c r="J215" s="115">
        <f>'Sampling Data'!I215</f>
        <v>0</v>
      </c>
      <c r="K215" s="115">
        <f>'Sampling Data'!J215</f>
        <v>0</v>
      </c>
      <c r="L215" s="115">
        <f>'Sampling Data'!K215</f>
        <v>0</v>
      </c>
      <c r="M215" s="115">
        <f>'Sampling Data'!L215</f>
        <v>0</v>
      </c>
      <c r="N215" s="115">
        <f>'Sampling Data'!M215</f>
        <v>0</v>
      </c>
      <c r="O215" s="114">
        <f>'Sampling Data'!N215</f>
        <v>0</v>
      </c>
      <c r="P215" s="114">
        <f>'Sampling Data'!O215</f>
        <v>0</v>
      </c>
      <c r="Q215" s="114">
        <f>'Sampling Data'!P215</f>
        <v>70</v>
      </c>
      <c r="R215" s="114">
        <f>'Sampling Data'!AJ215</f>
        <v>0</v>
      </c>
      <c r="S215" s="116"/>
      <c r="T215" s="116"/>
      <c r="U215" s="117"/>
      <c r="V215" s="117"/>
      <c r="W215" s="116"/>
      <c r="X215" s="116"/>
      <c r="Y215" s="116"/>
      <c r="Z215" s="116"/>
      <c r="AA215" s="15"/>
      <c r="AB215" s="15"/>
      <c r="AC215" s="15"/>
      <c r="AD215" s="15"/>
      <c r="AE215" s="118" t="str">
        <f>IF(NOT(ISBLANK(Audit[[#This Row],[Audit Winning Candidate]])), Audit[[#This Row],[Audit Winning Candidate]]-Audit[[#This Row],[Winning Candidate]], "")</f>
        <v/>
      </c>
      <c r="AF215" s="114" t="str">
        <f>IF(NOT(ISBLANK(Audit[[#This Row],[Audit Losing Candidate]])), Audit[[#This Row],[Audit Losing Candidate]]-Audit[[#This Row],[Losing Candidate]], "")</f>
        <v/>
      </c>
      <c r="AG215" s="114" t="str">
        <f>IF(NOT(ISBLANK(Audit[[#This Row],[Audit Candidate 3]])), Audit[[#This Row],[Audit Candidate 3]]-Audit[[#This Row],[Candidate 3]], "")</f>
        <v/>
      </c>
      <c r="AH215" s="114" t="str">
        <f>IF(NOT(ISBLANK(Audit[[#This Row],[Audit Candidate 4]])),Audit[[#This Row],[Audit Candidate 4]]-Audit[[#This Row],[Candidate 4]], "")</f>
        <v/>
      </c>
      <c r="AI215" s="114" t="str">
        <f>IF(NOT(ISBLANK(Audit[[#This Row],[Audit Candidate 5]])), Audit[[#This Row],[Audit Candidate 5]]-Audit[[#This Row],[Candidate 5]], "")</f>
        <v/>
      </c>
      <c r="AJ215" s="114" t="str">
        <f>IF(NOT(ISBLANK(Audit[[#This Row],[Audit Candidate 6]])), Audit[[#This Row],[Audit Candidate 6]]-Audit[[#This Row],[Candidate 6]], "")</f>
        <v/>
      </c>
      <c r="AK215" s="114" t="str">
        <f>IF(NOT(ISBLANK(Audit[[#This Row],[Audit Candidate 7]])), Audit[[#This Row],[Audit Candidate 7]]-Audit[[#This Row],[Candidate 7]], "")</f>
        <v/>
      </c>
      <c r="AL215" s="114" t="str">
        <f>IF(NOT(ISBLANK(Audit[[#This Row],[Audit Candidate 8]])), Audit[[#This Row],[Audit Candidate 8]]-Audit[[#This Row],[Candidate 8]], "")</f>
        <v/>
      </c>
      <c r="AM215" s="114" t="str">
        <f>IF(NOT(ISBLANK(Audit[[#This Row],[Audit Candidate 9]])), Audit[[#This Row],[Audit Candidate 9]]-Audit[[#This Row],[Candidate 9]], "")</f>
        <v/>
      </c>
      <c r="AN215" s="114" t="str">
        <f>IF(NOT(ISBLANK(Audit[[#This Row],[Audit Candidate 10]])), Audit[[#This Row],[Audit Candidate 10]]-Audit[[#This Row],[Candidate 10]], "")</f>
        <v/>
      </c>
      <c r="AO215" s="114" t="str">
        <f>IF(NOT(ISBLANK(Audit[[#This Row],[Audit Candidate 11]])), Audit[[#This Row],[Audit Candidate 11]]-Audit[[#This Row],[Candidate 11]], "")</f>
        <v/>
      </c>
      <c r="AP215" s="114" t="str">
        <f>IF(NOT(ISBLANK(Audit[[#This Row],[Audit Candidate 12]])), Audit[[#This Row],[Audit Candidate 12]]-Audit[[#This Row],[Candidate 12]], "")</f>
        <v/>
      </c>
      <c r="AQ215" s="114">
        <f>SUMIF(Audit[[#This Row],[Difference Winner]:[Difference Candidate 12]], "&gt;0")</f>
        <v>0</v>
      </c>
      <c r="AR215" s="114">
        <f>SUM(Audit[[#This Row],[Difference Winner]:[Difference Candidate 12]])</f>
        <v>0</v>
      </c>
      <c r="AS215" s="114">
        <f>IF(Audit[[#This Row],[Times p Drawn - With Replacement]]&gt;0, IF(Audit[[#This Row],[Canceled Differences]]&lt;0, Audit[[#This Row],[Max Differences]]+ABS(Audit[[#This Row],[Canceled Differences]]), Audit[[#This Row],[Max Differences]]), 0)</f>
        <v>0</v>
      </c>
      <c r="AT215" s="114">
        <f>'Sampling Data'!AB215</f>
        <v>7.7112698312369636E-3</v>
      </c>
      <c r="AU215" s="114">
        <f>IF(
      SUM(Audit[[#This Row],[Audit Losing Candidate]:[Audit Candidate 12]])
      &lt;&gt;0,
      (Audit[[#This Row],[Winning Candidate]]-Audit[[#This Row],[Losing Candidate]]-(Audit[[#This Row],[Audit Winning Candidate]]-Audit[[#This Row],[Audit Losing Candidate]]))/(Audit[[#Totals],[Winning Candidate]]-Audit[[#Totals],[Losing Candidate]]),
      0
)</f>
        <v>0</v>
      </c>
      <c r="AV2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5" s="114">
        <f>IF(Audit[[#This Row],[Max Relative Error (ep)]] = 0, 0, Audit[[#This Row],[Max Relative Error (ep)]]/Audit[[#This Row],[Error Bound (up) - Max. possible relative overstatement]])</f>
        <v>0</v>
      </c>
      <c r="BH2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5" s="114">
        <f t="shared" si="4"/>
        <v>1</v>
      </c>
      <c r="BJ215" s="114">
        <f>PRODUCT($BI$5:BI215)</f>
        <v>0.20973752198051165</v>
      </c>
      <c r="BK215" s="112">
        <f>1 - Audit[[#This Row],[K-M P Value]]</f>
        <v>0.79026247801948835</v>
      </c>
      <c r="BL215" s="114" t="str">
        <f>IF(Audit[[#This Row],[K-M P Value]]&gt;1-'General Info'!$B$12,"Continue", "Stop")</f>
        <v>Continue</v>
      </c>
      <c r="BM215" s="113" t="b">
        <f>IF(Audit[[#This Row],[Status - Continue or stop audit]] = "Continue", TRUE, IF(BL214 = "Continue", TRUE, FALSE))</f>
        <v>1</v>
      </c>
      <c r="BN215" s="113"/>
    </row>
    <row r="216" spans="1:66" ht="15" hidden="1" customHeight="1" x14ac:dyDescent="0.35">
      <c r="A216" s="114" t="str">
        <f>'Sampling Data'!AI216</f>
        <v/>
      </c>
      <c r="B216" s="114" t="str">
        <f>'Sampling Data'!A216</f>
        <v>0209 CIN 2-I   (ED)</v>
      </c>
      <c r="C216" s="114">
        <f>'Sampling Data'!B216</f>
        <v>103</v>
      </c>
      <c r="D216" s="114">
        <f>'Sampling Data'!C216</f>
        <v>16</v>
      </c>
      <c r="E216" s="115">
        <f>'Sampling Data'!D216</f>
        <v>6</v>
      </c>
      <c r="F216" s="115">
        <f>'Sampling Data'!E216</f>
        <v>0</v>
      </c>
      <c r="G216" s="115">
        <f>'Sampling Data'!F216</f>
        <v>0</v>
      </c>
      <c r="H216" s="115">
        <f>'Sampling Data'!G216</f>
        <v>0</v>
      </c>
      <c r="I216" s="115">
        <f>'Sampling Data'!H216</f>
        <v>0</v>
      </c>
      <c r="J216" s="115">
        <f>'Sampling Data'!I216</f>
        <v>0</v>
      </c>
      <c r="K216" s="115">
        <f>'Sampling Data'!J216</f>
        <v>0</v>
      </c>
      <c r="L216" s="115">
        <f>'Sampling Data'!K216</f>
        <v>0</v>
      </c>
      <c r="M216" s="115">
        <f>'Sampling Data'!L216</f>
        <v>0</v>
      </c>
      <c r="N216" s="115">
        <f>'Sampling Data'!M216</f>
        <v>0</v>
      </c>
      <c r="O216" s="114">
        <f>'Sampling Data'!N216</f>
        <v>0</v>
      </c>
      <c r="P216" s="114">
        <f>'Sampling Data'!O216</f>
        <v>0</v>
      </c>
      <c r="Q216" s="114">
        <f>'Sampling Data'!P216</f>
        <v>125</v>
      </c>
      <c r="R216" s="114">
        <f>'Sampling Data'!AJ216</f>
        <v>0</v>
      </c>
      <c r="S216" s="116"/>
      <c r="T216" s="116"/>
      <c r="U216" s="117"/>
      <c r="V216" s="117"/>
      <c r="W216" s="116"/>
      <c r="X216" s="116"/>
      <c r="Y216" s="116"/>
      <c r="Z216" s="116"/>
      <c r="AA216" s="15"/>
      <c r="AB216" s="15"/>
      <c r="AC216" s="15"/>
      <c r="AD216" s="15"/>
      <c r="AE216" s="118" t="str">
        <f>IF(NOT(ISBLANK(Audit[[#This Row],[Audit Winning Candidate]])), Audit[[#This Row],[Audit Winning Candidate]]-Audit[[#This Row],[Winning Candidate]], "")</f>
        <v/>
      </c>
      <c r="AF216" s="114" t="str">
        <f>IF(NOT(ISBLANK(Audit[[#This Row],[Audit Losing Candidate]])), Audit[[#This Row],[Audit Losing Candidate]]-Audit[[#This Row],[Losing Candidate]], "")</f>
        <v/>
      </c>
      <c r="AG216" s="114" t="str">
        <f>IF(NOT(ISBLANK(Audit[[#This Row],[Audit Candidate 3]])), Audit[[#This Row],[Audit Candidate 3]]-Audit[[#This Row],[Candidate 3]], "")</f>
        <v/>
      </c>
      <c r="AH216" s="114" t="str">
        <f>IF(NOT(ISBLANK(Audit[[#This Row],[Audit Candidate 4]])),Audit[[#This Row],[Audit Candidate 4]]-Audit[[#This Row],[Candidate 4]], "")</f>
        <v/>
      </c>
      <c r="AI216" s="114" t="str">
        <f>IF(NOT(ISBLANK(Audit[[#This Row],[Audit Candidate 5]])), Audit[[#This Row],[Audit Candidate 5]]-Audit[[#This Row],[Candidate 5]], "")</f>
        <v/>
      </c>
      <c r="AJ216" s="114" t="str">
        <f>IF(NOT(ISBLANK(Audit[[#This Row],[Audit Candidate 6]])), Audit[[#This Row],[Audit Candidate 6]]-Audit[[#This Row],[Candidate 6]], "")</f>
        <v/>
      </c>
      <c r="AK216" s="114" t="str">
        <f>IF(NOT(ISBLANK(Audit[[#This Row],[Audit Candidate 7]])), Audit[[#This Row],[Audit Candidate 7]]-Audit[[#This Row],[Candidate 7]], "")</f>
        <v/>
      </c>
      <c r="AL216" s="114" t="str">
        <f>IF(NOT(ISBLANK(Audit[[#This Row],[Audit Candidate 8]])), Audit[[#This Row],[Audit Candidate 8]]-Audit[[#This Row],[Candidate 8]], "")</f>
        <v/>
      </c>
      <c r="AM216" s="114" t="str">
        <f>IF(NOT(ISBLANK(Audit[[#This Row],[Audit Candidate 9]])), Audit[[#This Row],[Audit Candidate 9]]-Audit[[#This Row],[Candidate 9]], "")</f>
        <v/>
      </c>
      <c r="AN216" s="114" t="str">
        <f>IF(NOT(ISBLANK(Audit[[#This Row],[Audit Candidate 10]])), Audit[[#This Row],[Audit Candidate 10]]-Audit[[#This Row],[Candidate 10]], "")</f>
        <v/>
      </c>
      <c r="AO216" s="114" t="str">
        <f>IF(NOT(ISBLANK(Audit[[#This Row],[Audit Candidate 11]])), Audit[[#This Row],[Audit Candidate 11]]-Audit[[#This Row],[Candidate 11]], "")</f>
        <v/>
      </c>
      <c r="AP216" s="114" t="str">
        <f>IF(NOT(ISBLANK(Audit[[#This Row],[Audit Candidate 12]])), Audit[[#This Row],[Audit Candidate 12]]-Audit[[#This Row],[Candidate 12]], "")</f>
        <v/>
      </c>
      <c r="AQ216" s="114">
        <f>SUMIF(Audit[[#This Row],[Difference Winner]:[Difference Candidate 12]], "&gt;0")</f>
        <v>0</v>
      </c>
      <c r="AR216" s="114">
        <f>SUM(Audit[[#This Row],[Difference Winner]:[Difference Candidate 12]])</f>
        <v>0</v>
      </c>
      <c r="AS216" s="114">
        <f>IF(Audit[[#This Row],[Times p Drawn - With Replacement]]&gt;0, IF(Audit[[#This Row],[Canceled Differences]]&lt;0, Audit[[#This Row],[Max Differences]]+ABS(Audit[[#This Row],[Canceled Differences]]), Audit[[#This Row],[Max Differences]]), 0)</f>
        <v>0</v>
      </c>
      <c r="AT216" s="114">
        <f>'Sampling Data'!AB216</f>
        <v>1.339991151001833E-2</v>
      </c>
      <c r="AU216" s="114">
        <f>IF(
      SUM(Audit[[#This Row],[Audit Losing Candidate]:[Audit Candidate 12]])
      &lt;&gt;0,
      (Audit[[#This Row],[Winning Candidate]]-Audit[[#This Row],[Losing Candidate]]-(Audit[[#This Row],[Audit Winning Candidate]]-Audit[[#This Row],[Audit Losing Candidate]]))/(Audit[[#Totals],[Winning Candidate]]-Audit[[#Totals],[Losing Candidate]]),
      0
)</f>
        <v>0</v>
      </c>
      <c r="AV2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6" s="114">
        <f>IF(Audit[[#This Row],[Max Relative Error (ep)]] = 0, 0, Audit[[#This Row],[Max Relative Error (ep)]]/Audit[[#This Row],[Error Bound (up) - Max. possible relative overstatement]])</f>
        <v>0</v>
      </c>
      <c r="BH2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6" s="114">
        <f t="shared" si="4"/>
        <v>1</v>
      </c>
      <c r="BJ216" s="114">
        <f>PRODUCT($BI$5:BI216)</f>
        <v>0.20973752198051165</v>
      </c>
      <c r="BK216" s="112">
        <f>1 - Audit[[#This Row],[K-M P Value]]</f>
        <v>0.79026247801948835</v>
      </c>
      <c r="BL216" s="114" t="str">
        <f>IF(Audit[[#This Row],[K-M P Value]]&gt;1-'General Info'!$B$12,"Continue", "Stop")</f>
        <v>Continue</v>
      </c>
      <c r="BM216" s="113" t="b">
        <f>IF(Audit[[#This Row],[Status - Continue or stop audit]] = "Continue", TRUE, IF(BL215 = "Continue", TRUE, FALSE))</f>
        <v>1</v>
      </c>
      <c r="BN216" s="113"/>
    </row>
    <row r="217" spans="1:66" ht="15" hidden="1" customHeight="1" x14ac:dyDescent="0.35">
      <c r="A217" s="114" t="str">
        <f>'Sampling Data'!AI217</f>
        <v/>
      </c>
      <c r="B217" s="114" t="str">
        <f>'Sampling Data'!A217</f>
        <v>0210 CIN 2-J   (ED)</v>
      </c>
      <c r="C217" s="114">
        <f>'Sampling Data'!B217</f>
        <v>103</v>
      </c>
      <c r="D217" s="114">
        <f>'Sampling Data'!C217</f>
        <v>26</v>
      </c>
      <c r="E217" s="115">
        <f>'Sampling Data'!D217</f>
        <v>7</v>
      </c>
      <c r="F217" s="115">
        <f>'Sampling Data'!E217</f>
        <v>0</v>
      </c>
      <c r="G217" s="115">
        <f>'Sampling Data'!F217</f>
        <v>0</v>
      </c>
      <c r="H217" s="115">
        <f>'Sampling Data'!G217</f>
        <v>0</v>
      </c>
      <c r="I217" s="115">
        <f>'Sampling Data'!H217</f>
        <v>0</v>
      </c>
      <c r="J217" s="115">
        <f>'Sampling Data'!I217</f>
        <v>0</v>
      </c>
      <c r="K217" s="115">
        <f>'Sampling Data'!J217</f>
        <v>0</v>
      </c>
      <c r="L217" s="115">
        <f>'Sampling Data'!K217</f>
        <v>0</v>
      </c>
      <c r="M217" s="115">
        <f>'Sampling Data'!L217</f>
        <v>0</v>
      </c>
      <c r="N217" s="115">
        <f>'Sampling Data'!M217</f>
        <v>0</v>
      </c>
      <c r="O217" s="114">
        <f>'Sampling Data'!N217</f>
        <v>0</v>
      </c>
      <c r="P217" s="114">
        <f>'Sampling Data'!O217</f>
        <v>2</v>
      </c>
      <c r="Q217" s="114">
        <f>'Sampling Data'!P217</f>
        <v>138</v>
      </c>
      <c r="R217" s="114">
        <f>'Sampling Data'!AJ217</f>
        <v>0</v>
      </c>
      <c r="S217" s="116"/>
      <c r="T217" s="116"/>
      <c r="U217" s="117"/>
      <c r="V217" s="117"/>
      <c r="W217" s="116"/>
      <c r="X217" s="116"/>
      <c r="Y217" s="116"/>
      <c r="Z217" s="116"/>
      <c r="AA217" s="15"/>
      <c r="AB217" s="15"/>
      <c r="AC217" s="15"/>
      <c r="AD217" s="15"/>
      <c r="AE217" s="118" t="str">
        <f>IF(NOT(ISBLANK(Audit[[#This Row],[Audit Winning Candidate]])), Audit[[#This Row],[Audit Winning Candidate]]-Audit[[#This Row],[Winning Candidate]], "")</f>
        <v/>
      </c>
      <c r="AF217" s="114" t="str">
        <f>IF(NOT(ISBLANK(Audit[[#This Row],[Audit Losing Candidate]])), Audit[[#This Row],[Audit Losing Candidate]]-Audit[[#This Row],[Losing Candidate]], "")</f>
        <v/>
      </c>
      <c r="AG217" s="114" t="str">
        <f>IF(NOT(ISBLANK(Audit[[#This Row],[Audit Candidate 3]])), Audit[[#This Row],[Audit Candidate 3]]-Audit[[#This Row],[Candidate 3]], "")</f>
        <v/>
      </c>
      <c r="AH217" s="114" t="str">
        <f>IF(NOT(ISBLANK(Audit[[#This Row],[Audit Candidate 4]])),Audit[[#This Row],[Audit Candidate 4]]-Audit[[#This Row],[Candidate 4]], "")</f>
        <v/>
      </c>
      <c r="AI217" s="114" t="str">
        <f>IF(NOT(ISBLANK(Audit[[#This Row],[Audit Candidate 5]])), Audit[[#This Row],[Audit Candidate 5]]-Audit[[#This Row],[Candidate 5]], "")</f>
        <v/>
      </c>
      <c r="AJ217" s="114" t="str">
        <f>IF(NOT(ISBLANK(Audit[[#This Row],[Audit Candidate 6]])), Audit[[#This Row],[Audit Candidate 6]]-Audit[[#This Row],[Candidate 6]], "")</f>
        <v/>
      </c>
      <c r="AK217" s="114" t="str">
        <f>IF(NOT(ISBLANK(Audit[[#This Row],[Audit Candidate 7]])), Audit[[#This Row],[Audit Candidate 7]]-Audit[[#This Row],[Candidate 7]], "")</f>
        <v/>
      </c>
      <c r="AL217" s="114" t="str">
        <f>IF(NOT(ISBLANK(Audit[[#This Row],[Audit Candidate 8]])), Audit[[#This Row],[Audit Candidate 8]]-Audit[[#This Row],[Candidate 8]], "")</f>
        <v/>
      </c>
      <c r="AM217" s="114" t="str">
        <f>IF(NOT(ISBLANK(Audit[[#This Row],[Audit Candidate 9]])), Audit[[#This Row],[Audit Candidate 9]]-Audit[[#This Row],[Candidate 9]], "")</f>
        <v/>
      </c>
      <c r="AN217" s="114" t="str">
        <f>IF(NOT(ISBLANK(Audit[[#This Row],[Audit Candidate 10]])), Audit[[#This Row],[Audit Candidate 10]]-Audit[[#This Row],[Candidate 10]], "")</f>
        <v/>
      </c>
      <c r="AO217" s="114" t="str">
        <f>IF(NOT(ISBLANK(Audit[[#This Row],[Audit Candidate 11]])), Audit[[#This Row],[Audit Candidate 11]]-Audit[[#This Row],[Candidate 11]], "")</f>
        <v/>
      </c>
      <c r="AP217" s="114" t="str">
        <f>IF(NOT(ISBLANK(Audit[[#This Row],[Audit Candidate 12]])), Audit[[#This Row],[Audit Candidate 12]]-Audit[[#This Row],[Candidate 12]], "")</f>
        <v/>
      </c>
      <c r="AQ217" s="114">
        <f>SUMIF(Audit[[#This Row],[Difference Winner]:[Difference Candidate 12]], "&gt;0")</f>
        <v>0</v>
      </c>
      <c r="AR217" s="114">
        <f>SUM(Audit[[#This Row],[Difference Winner]:[Difference Candidate 12]])</f>
        <v>0</v>
      </c>
      <c r="AS217" s="114">
        <f>IF(Audit[[#This Row],[Times p Drawn - With Replacement]]&gt;0, IF(Audit[[#This Row],[Canceled Differences]]&lt;0, Audit[[#This Row],[Max Differences]]+ABS(Audit[[#This Row],[Canceled Differences]]), Audit[[#This Row],[Max Differences]]), 0)</f>
        <v>0</v>
      </c>
      <c r="AT217" s="114">
        <f>'Sampling Data'!AB217</f>
        <v>1.3589532899311042E-2</v>
      </c>
      <c r="AU217" s="114">
        <f>IF(
      SUM(Audit[[#This Row],[Audit Losing Candidate]:[Audit Candidate 12]])
      &lt;&gt;0,
      (Audit[[#This Row],[Winning Candidate]]-Audit[[#This Row],[Losing Candidate]]-(Audit[[#This Row],[Audit Winning Candidate]]-Audit[[#This Row],[Audit Losing Candidate]]))/(Audit[[#Totals],[Winning Candidate]]-Audit[[#Totals],[Losing Candidate]]),
      0
)</f>
        <v>0</v>
      </c>
      <c r="AV2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7" s="114">
        <f>IF(Audit[[#This Row],[Max Relative Error (ep)]] = 0, 0, Audit[[#This Row],[Max Relative Error (ep)]]/Audit[[#This Row],[Error Bound (up) - Max. possible relative overstatement]])</f>
        <v>0</v>
      </c>
      <c r="BH2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7" s="114">
        <f t="shared" si="4"/>
        <v>1</v>
      </c>
      <c r="BJ217" s="114">
        <f>PRODUCT($BI$5:BI217)</f>
        <v>0.20973752198051165</v>
      </c>
      <c r="BK217" s="112">
        <f>1 - Audit[[#This Row],[K-M P Value]]</f>
        <v>0.79026247801948835</v>
      </c>
      <c r="BL217" s="114" t="str">
        <f>IF(Audit[[#This Row],[K-M P Value]]&gt;1-'General Info'!$B$12,"Continue", "Stop")</f>
        <v>Continue</v>
      </c>
      <c r="BM217" s="113" t="b">
        <f>IF(Audit[[#This Row],[Status - Continue or stop audit]] = "Continue", TRUE, IF(BL216 = "Continue", TRUE, FALSE))</f>
        <v>1</v>
      </c>
      <c r="BN217" s="113"/>
    </row>
    <row r="218" spans="1:66" ht="15" hidden="1" customHeight="1" x14ac:dyDescent="0.35">
      <c r="A218" s="114" t="str">
        <f>'Sampling Data'!AI218</f>
        <v/>
      </c>
      <c r="B218" s="114" t="str">
        <f>'Sampling Data'!A218</f>
        <v>0211 CIN 2-K   (ED)</v>
      </c>
      <c r="C218" s="114">
        <f>'Sampling Data'!B218</f>
        <v>124</v>
      </c>
      <c r="D218" s="114">
        <f>'Sampling Data'!C218</f>
        <v>20</v>
      </c>
      <c r="E218" s="115">
        <f>'Sampling Data'!D218</f>
        <v>13</v>
      </c>
      <c r="F218" s="115">
        <f>'Sampling Data'!E218</f>
        <v>0</v>
      </c>
      <c r="G218" s="115">
        <f>'Sampling Data'!F218</f>
        <v>0</v>
      </c>
      <c r="H218" s="115">
        <f>'Sampling Data'!G218</f>
        <v>0</v>
      </c>
      <c r="I218" s="115">
        <f>'Sampling Data'!H218</f>
        <v>0</v>
      </c>
      <c r="J218" s="115">
        <f>'Sampling Data'!I218</f>
        <v>0</v>
      </c>
      <c r="K218" s="115">
        <f>'Sampling Data'!J218</f>
        <v>0</v>
      </c>
      <c r="L218" s="115">
        <f>'Sampling Data'!K218</f>
        <v>0</v>
      </c>
      <c r="M218" s="115">
        <f>'Sampling Data'!L218</f>
        <v>0</v>
      </c>
      <c r="N218" s="115">
        <f>'Sampling Data'!M218</f>
        <v>0</v>
      </c>
      <c r="O218" s="114">
        <f>'Sampling Data'!N218</f>
        <v>0</v>
      </c>
      <c r="P218" s="114">
        <f>'Sampling Data'!O218</f>
        <v>1</v>
      </c>
      <c r="Q218" s="114">
        <f>'Sampling Data'!P218</f>
        <v>158</v>
      </c>
      <c r="R218" s="114">
        <f>'Sampling Data'!AJ218</f>
        <v>0</v>
      </c>
      <c r="S218" s="116"/>
      <c r="T218" s="116"/>
      <c r="U218" s="117"/>
      <c r="V218" s="117"/>
      <c r="W218" s="116"/>
      <c r="X218" s="116"/>
      <c r="Y218" s="116"/>
      <c r="Z218" s="116"/>
      <c r="AA218" s="15"/>
      <c r="AB218" s="15"/>
      <c r="AC218" s="15"/>
      <c r="AD218" s="15"/>
      <c r="AE218" s="118" t="str">
        <f>IF(NOT(ISBLANK(Audit[[#This Row],[Audit Winning Candidate]])), Audit[[#This Row],[Audit Winning Candidate]]-Audit[[#This Row],[Winning Candidate]], "")</f>
        <v/>
      </c>
      <c r="AF218" s="114" t="str">
        <f>IF(NOT(ISBLANK(Audit[[#This Row],[Audit Losing Candidate]])), Audit[[#This Row],[Audit Losing Candidate]]-Audit[[#This Row],[Losing Candidate]], "")</f>
        <v/>
      </c>
      <c r="AG218" s="114" t="str">
        <f>IF(NOT(ISBLANK(Audit[[#This Row],[Audit Candidate 3]])), Audit[[#This Row],[Audit Candidate 3]]-Audit[[#This Row],[Candidate 3]], "")</f>
        <v/>
      </c>
      <c r="AH218" s="114" t="str">
        <f>IF(NOT(ISBLANK(Audit[[#This Row],[Audit Candidate 4]])),Audit[[#This Row],[Audit Candidate 4]]-Audit[[#This Row],[Candidate 4]], "")</f>
        <v/>
      </c>
      <c r="AI218" s="114" t="str">
        <f>IF(NOT(ISBLANK(Audit[[#This Row],[Audit Candidate 5]])), Audit[[#This Row],[Audit Candidate 5]]-Audit[[#This Row],[Candidate 5]], "")</f>
        <v/>
      </c>
      <c r="AJ218" s="114" t="str">
        <f>IF(NOT(ISBLANK(Audit[[#This Row],[Audit Candidate 6]])), Audit[[#This Row],[Audit Candidate 6]]-Audit[[#This Row],[Candidate 6]], "")</f>
        <v/>
      </c>
      <c r="AK218" s="114" t="str">
        <f>IF(NOT(ISBLANK(Audit[[#This Row],[Audit Candidate 7]])), Audit[[#This Row],[Audit Candidate 7]]-Audit[[#This Row],[Candidate 7]], "")</f>
        <v/>
      </c>
      <c r="AL218" s="114" t="str">
        <f>IF(NOT(ISBLANK(Audit[[#This Row],[Audit Candidate 8]])), Audit[[#This Row],[Audit Candidate 8]]-Audit[[#This Row],[Candidate 8]], "")</f>
        <v/>
      </c>
      <c r="AM218" s="114" t="str">
        <f>IF(NOT(ISBLANK(Audit[[#This Row],[Audit Candidate 9]])), Audit[[#This Row],[Audit Candidate 9]]-Audit[[#This Row],[Candidate 9]], "")</f>
        <v/>
      </c>
      <c r="AN218" s="114" t="str">
        <f>IF(NOT(ISBLANK(Audit[[#This Row],[Audit Candidate 10]])), Audit[[#This Row],[Audit Candidate 10]]-Audit[[#This Row],[Candidate 10]], "")</f>
        <v/>
      </c>
      <c r="AO218" s="114" t="str">
        <f>IF(NOT(ISBLANK(Audit[[#This Row],[Audit Candidate 11]])), Audit[[#This Row],[Audit Candidate 11]]-Audit[[#This Row],[Candidate 11]], "")</f>
        <v/>
      </c>
      <c r="AP218" s="114" t="str">
        <f>IF(NOT(ISBLANK(Audit[[#This Row],[Audit Candidate 12]])), Audit[[#This Row],[Audit Candidate 12]]-Audit[[#This Row],[Candidate 12]], "")</f>
        <v/>
      </c>
      <c r="AQ218" s="114">
        <f>SUMIF(Audit[[#This Row],[Difference Winner]:[Difference Candidate 12]], "&gt;0")</f>
        <v>0</v>
      </c>
      <c r="AR218" s="114">
        <f>SUM(Audit[[#This Row],[Difference Winner]:[Difference Candidate 12]])</f>
        <v>0</v>
      </c>
      <c r="AS218" s="114">
        <f>IF(Audit[[#This Row],[Times p Drawn - With Replacement]]&gt;0, IF(Audit[[#This Row],[Canceled Differences]]&lt;0, Audit[[#This Row],[Max Differences]]+ABS(Audit[[#This Row],[Canceled Differences]]), Audit[[#This Row],[Max Differences]]), 0)</f>
        <v>0</v>
      </c>
      <c r="AT218" s="114">
        <f>'Sampling Data'!AB218</f>
        <v>1.65602679982302E-2</v>
      </c>
      <c r="AU218" s="114">
        <f>IF(
      SUM(Audit[[#This Row],[Audit Losing Candidate]:[Audit Candidate 12]])
      &lt;&gt;0,
      (Audit[[#This Row],[Winning Candidate]]-Audit[[#This Row],[Losing Candidate]]-(Audit[[#This Row],[Audit Winning Candidate]]-Audit[[#This Row],[Audit Losing Candidate]]))/(Audit[[#Totals],[Winning Candidate]]-Audit[[#Totals],[Losing Candidate]]),
      0
)</f>
        <v>0</v>
      </c>
      <c r="AV2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8" s="114">
        <f>IF(Audit[[#This Row],[Max Relative Error (ep)]] = 0, 0, Audit[[#This Row],[Max Relative Error (ep)]]/Audit[[#This Row],[Error Bound (up) - Max. possible relative overstatement]])</f>
        <v>0</v>
      </c>
      <c r="BH2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8" s="114">
        <f t="shared" si="4"/>
        <v>1</v>
      </c>
      <c r="BJ218" s="114">
        <f>PRODUCT($BI$5:BI218)</f>
        <v>0.20973752198051165</v>
      </c>
      <c r="BK218" s="112">
        <f>1 - Audit[[#This Row],[K-M P Value]]</f>
        <v>0.79026247801948835</v>
      </c>
      <c r="BL218" s="114" t="str">
        <f>IF(Audit[[#This Row],[K-M P Value]]&gt;1-'General Info'!$B$12,"Continue", "Stop")</f>
        <v>Continue</v>
      </c>
      <c r="BM218" s="113" t="b">
        <f>IF(Audit[[#This Row],[Status - Continue or stop audit]] = "Continue", TRUE, IF(BL217 = "Continue", TRUE, FALSE))</f>
        <v>1</v>
      </c>
      <c r="BN218" s="113"/>
    </row>
    <row r="219" spans="1:66" ht="15" hidden="1" customHeight="1" x14ac:dyDescent="0.35">
      <c r="A219" s="114" t="str">
        <f>'Sampling Data'!AI219</f>
        <v/>
      </c>
      <c r="B219" s="114" t="str">
        <f>'Sampling Data'!A219</f>
        <v>0301 CIN 3-A   (ED)</v>
      </c>
      <c r="C219" s="114">
        <f>'Sampling Data'!B219</f>
        <v>105</v>
      </c>
      <c r="D219" s="114">
        <f>'Sampling Data'!C219</f>
        <v>2</v>
      </c>
      <c r="E219" s="115">
        <f>'Sampling Data'!D219</f>
        <v>3</v>
      </c>
      <c r="F219" s="115">
        <f>'Sampling Data'!E219</f>
        <v>0</v>
      </c>
      <c r="G219" s="115">
        <f>'Sampling Data'!F219</f>
        <v>0</v>
      </c>
      <c r="H219" s="115">
        <f>'Sampling Data'!G219</f>
        <v>0</v>
      </c>
      <c r="I219" s="115">
        <f>'Sampling Data'!H219</f>
        <v>0</v>
      </c>
      <c r="J219" s="115">
        <f>'Sampling Data'!I219</f>
        <v>0</v>
      </c>
      <c r="K219" s="115">
        <f>'Sampling Data'!J219</f>
        <v>0</v>
      </c>
      <c r="L219" s="115">
        <f>'Sampling Data'!K219</f>
        <v>0</v>
      </c>
      <c r="M219" s="115">
        <f>'Sampling Data'!L219</f>
        <v>0</v>
      </c>
      <c r="N219" s="115">
        <f>'Sampling Data'!M219</f>
        <v>0</v>
      </c>
      <c r="O219" s="114">
        <f>'Sampling Data'!N219</f>
        <v>0</v>
      </c>
      <c r="P219" s="114">
        <f>'Sampling Data'!O219</f>
        <v>1</v>
      </c>
      <c r="Q219" s="114">
        <f>'Sampling Data'!P219</f>
        <v>111</v>
      </c>
      <c r="R219" s="114">
        <f>'Sampling Data'!AJ219</f>
        <v>0</v>
      </c>
      <c r="S219" s="116"/>
      <c r="T219" s="116"/>
      <c r="U219" s="117"/>
      <c r="V219" s="117"/>
      <c r="W219" s="116"/>
      <c r="X219" s="116"/>
      <c r="Y219" s="116"/>
      <c r="Z219" s="116"/>
      <c r="AA219" s="15"/>
      <c r="AB219" s="15"/>
      <c r="AC219" s="15"/>
      <c r="AD219" s="15"/>
      <c r="AE219" s="118" t="str">
        <f>IF(NOT(ISBLANK(Audit[[#This Row],[Audit Winning Candidate]])), Audit[[#This Row],[Audit Winning Candidate]]-Audit[[#This Row],[Winning Candidate]], "")</f>
        <v/>
      </c>
      <c r="AF219" s="114" t="str">
        <f>IF(NOT(ISBLANK(Audit[[#This Row],[Audit Losing Candidate]])), Audit[[#This Row],[Audit Losing Candidate]]-Audit[[#This Row],[Losing Candidate]], "")</f>
        <v/>
      </c>
      <c r="AG219" s="114" t="str">
        <f>IF(NOT(ISBLANK(Audit[[#This Row],[Audit Candidate 3]])), Audit[[#This Row],[Audit Candidate 3]]-Audit[[#This Row],[Candidate 3]], "")</f>
        <v/>
      </c>
      <c r="AH219" s="114" t="str">
        <f>IF(NOT(ISBLANK(Audit[[#This Row],[Audit Candidate 4]])),Audit[[#This Row],[Audit Candidate 4]]-Audit[[#This Row],[Candidate 4]], "")</f>
        <v/>
      </c>
      <c r="AI219" s="114" t="str">
        <f>IF(NOT(ISBLANK(Audit[[#This Row],[Audit Candidate 5]])), Audit[[#This Row],[Audit Candidate 5]]-Audit[[#This Row],[Candidate 5]], "")</f>
        <v/>
      </c>
      <c r="AJ219" s="114" t="str">
        <f>IF(NOT(ISBLANK(Audit[[#This Row],[Audit Candidate 6]])), Audit[[#This Row],[Audit Candidate 6]]-Audit[[#This Row],[Candidate 6]], "")</f>
        <v/>
      </c>
      <c r="AK219" s="114" t="str">
        <f>IF(NOT(ISBLANK(Audit[[#This Row],[Audit Candidate 7]])), Audit[[#This Row],[Audit Candidate 7]]-Audit[[#This Row],[Candidate 7]], "")</f>
        <v/>
      </c>
      <c r="AL219" s="114" t="str">
        <f>IF(NOT(ISBLANK(Audit[[#This Row],[Audit Candidate 8]])), Audit[[#This Row],[Audit Candidate 8]]-Audit[[#This Row],[Candidate 8]], "")</f>
        <v/>
      </c>
      <c r="AM219" s="114" t="str">
        <f>IF(NOT(ISBLANK(Audit[[#This Row],[Audit Candidate 9]])), Audit[[#This Row],[Audit Candidate 9]]-Audit[[#This Row],[Candidate 9]], "")</f>
        <v/>
      </c>
      <c r="AN219" s="114" t="str">
        <f>IF(NOT(ISBLANK(Audit[[#This Row],[Audit Candidate 10]])), Audit[[#This Row],[Audit Candidate 10]]-Audit[[#This Row],[Candidate 10]], "")</f>
        <v/>
      </c>
      <c r="AO219" s="114" t="str">
        <f>IF(NOT(ISBLANK(Audit[[#This Row],[Audit Candidate 11]])), Audit[[#This Row],[Audit Candidate 11]]-Audit[[#This Row],[Candidate 11]], "")</f>
        <v/>
      </c>
      <c r="AP219" s="114" t="str">
        <f>IF(NOT(ISBLANK(Audit[[#This Row],[Audit Candidate 12]])), Audit[[#This Row],[Audit Candidate 12]]-Audit[[#This Row],[Candidate 12]], "")</f>
        <v/>
      </c>
      <c r="AQ219" s="114">
        <f>SUMIF(Audit[[#This Row],[Difference Winner]:[Difference Candidate 12]], "&gt;0")</f>
        <v>0</v>
      </c>
      <c r="AR219" s="114">
        <f>SUM(Audit[[#This Row],[Difference Winner]:[Difference Candidate 12]])</f>
        <v>0</v>
      </c>
      <c r="AS219" s="114">
        <f>IF(Audit[[#This Row],[Times p Drawn - With Replacement]]&gt;0, IF(Audit[[#This Row],[Canceled Differences]]&lt;0, Audit[[#This Row],[Max Differences]]+ABS(Audit[[#This Row],[Canceled Differences]]), Audit[[#This Row],[Max Differences]]), 0)</f>
        <v>0</v>
      </c>
      <c r="AT219" s="114">
        <f>'Sampling Data'!AB219</f>
        <v>1.3526325769546805E-2</v>
      </c>
      <c r="AU219" s="114">
        <f>IF(
      SUM(Audit[[#This Row],[Audit Losing Candidate]:[Audit Candidate 12]])
      &lt;&gt;0,
      (Audit[[#This Row],[Winning Candidate]]-Audit[[#This Row],[Losing Candidate]]-(Audit[[#This Row],[Audit Winning Candidate]]-Audit[[#This Row],[Audit Losing Candidate]]))/(Audit[[#Totals],[Winning Candidate]]-Audit[[#Totals],[Losing Candidate]]),
      0
)</f>
        <v>0</v>
      </c>
      <c r="AV2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9" s="114">
        <f>IF(Audit[[#This Row],[Max Relative Error (ep)]] = 0, 0, Audit[[#This Row],[Max Relative Error (ep)]]/Audit[[#This Row],[Error Bound (up) - Max. possible relative overstatement]])</f>
        <v>0</v>
      </c>
      <c r="BH2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19" s="114">
        <f t="shared" si="4"/>
        <v>1</v>
      </c>
      <c r="BJ219" s="114">
        <f>PRODUCT($BI$5:BI219)</f>
        <v>0.20973752198051165</v>
      </c>
      <c r="BK219" s="112">
        <f>1 - Audit[[#This Row],[K-M P Value]]</f>
        <v>0.79026247801948835</v>
      </c>
      <c r="BL219" s="114" t="str">
        <f>IF(Audit[[#This Row],[K-M P Value]]&gt;1-'General Info'!$B$12,"Continue", "Stop")</f>
        <v>Continue</v>
      </c>
      <c r="BM219" s="113" t="b">
        <f>IF(Audit[[#This Row],[Status - Continue or stop audit]] = "Continue", TRUE, IF(BL218 = "Continue", TRUE, FALSE))</f>
        <v>1</v>
      </c>
      <c r="BN219" s="113"/>
    </row>
    <row r="220" spans="1:66" ht="15" hidden="1" customHeight="1" x14ac:dyDescent="0.35">
      <c r="A220" s="114" t="str">
        <f>'Sampling Data'!AI220</f>
        <v/>
      </c>
      <c r="B220" s="114" t="str">
        <f>'Sampling Data'!A220</f>
        <v>0302 CIN 3-B   (ED)</v>
      </c>
      <c r="C220" s="114">
        <f>'Sampling Data'!B220</f>
        <v>98</v>
      </c>
      <c r="D220" s="114">
        <f>'Sampling Data'!C220</f>
        <v>14</v>
      </c>
      <c r="E220" s="115">
        <f>'Sampling Data'!D220</f>
        <v>10</v>
      </c>
      <c r="F220" s="115">
        <f>'Sampling Data'!E220</f>
        <v>0</v>
      </c>
      <c r="G220" s="115">
        <f>'Sampling Data'!F220</f>
        <v>0</v>
      </c>
      <c r="H220" s="115">
        <f>'Sampling Data'!G220</f>
        <v>0</v>
      </c>
      <c r="I220" s="115">
        <f>'Sampling Data'!H220</f>
        <v>0</v>
      </c>
      <c r="J220" s="115">
        <f>'Sampling Data'!I220</f>
        <v>0</v>
      </c>
      <c r="K220" s="115">
        <f>'Sampling Data'!J220</f>
        <v>0</v>
      </c>
      <c r="L220" s="115">
        <f>'Sampling Data'!K220</f>
        <v>0</v>
      </c>
      <c r="M220" s="115">
        <f>'Sampling Data'!L220</f>
        <v>0</v>
      </c>
      <c r="N220" s="115">
        <f>'Sampling Data'!M220</f>
        <v>0</v>
      </c>
      <c r="O220" s="114">
        <f>'Sampling Data'!N220</f>
        <v>0</v>
      </c>
      <c r="P220" s="114">
        <f>'Sampling Data'!O220</f>
        <v>3</v>
      </c>
      <c r="Q220" s="114">
        <f>'Sampling Data'!P220</f>
        <v>125</v>
      </c>
      <c r="R220" s="114">
        <f>'Sampling Data'!AJ220</f>
        <v>0</v>
      </c>
      <c r="S220" s="116"/>
      <c r="T220" s="116"/>
      <c r="U220" s="117"/>
      <c r="V220" s="117"/>
      <c r="W220" s="116"/>
      <c r="X220" s="116"/>
      <c r="Y220" s="116"/>
      <c r="Z220" s="116"/>
      <c r="AA220" s="15"/>
      <c r="AB220" s="15"/>
      <c r="AC220" s="15"/>
      <c r="AD220" s="15"/>
      <c r="AE220" s="118" t="str">
        <f>IF(NOT(ISBLANK(Audit[[#This Row],[Audit Winning Candidate]])), Audit[[#This Row],[Audit Winning Candidate]]-Audit[[#This Row],[Winning Candidate]], "")</f>
        <v/>
      </c>
      <c r="AF220" s="114" t="str">
        <f>IF(NOT(ISBLANK(Audit[[#This Row],[Audit Losing Candidate]])), Audit[[#This Row],[Audit Losing Candidate]]-Audit[[#This Row],[Losing Candidate]], "")</f>
        <v/>
      </c>
      <c r="AG220" s="114" t="str">
        <f>IF(NOT(ISBLANK(Audit[[#This Row],[Audit Candidate 3]])), Audit[[#This Row],[Audit Candidate 3]]-Audit[[#This Row],[Candidate 3]], "")</f>
        <v/>
      </c>
      <c r="AH220" s="114" t="str">
        <f>IF(NOT(ISBLANK(Audit[[#This Row],[Audit Candidate 4]])),Audit[[#This Row],[Audit Candidate 4]]-Audit[[#This Row],[Candidate 4]], "")</f>
        <v/>
      </c>
      <c r="AI220" s="114" t="str">
        <f>IF(NOT(ISBLANK(Audit[[#This Row],[Audit Candidate 5]])), Audit[[#This Row],[Audit Candidate 5]]-Audit[[#This Row],[Candidate 5]], "")</f>
        <v/>
      </c>
      <c r="AJ220" s="114" t="str">
        <f>IF(NOT(ISBLANK(Audit[[#This Row],[Audit Candidate 6]])), Audit[[#This Row],[Audit Candidate 6]]-Audit[[#This Row],[Candidate 6]], "")</f>
        <v/>
      </c>
      <c r="AK220" s="114" t="str">
        <f>IF(NOT(ISBLANK(Audit[[#This Row],[Audit Candidate 7]])), Audit[[#This Row],[Audit Candidate 7]]-Audit[[#This Row],[Candidate 7]], "")</f>
        <v/>
      </c>
      <c r="AL220" s="114" t="str">
        <f>IF(NOT(ISBLANK(Audit[[#This Row],[Audit Candidate 8]])), Audit[[#This Row],[Audit Candidate 8]]-Audit[[#This Row],[Candidate 8]], "")</f>
        <v/>
      </c>
      <c r="AM220" s="114" t="str">
        <f>IF(NOT(ISBLANK(Audit[[#This Row],[Audit Candidate 9]])), Audit[[#This Row],[Audit Candidate 9]]-Audit[[#This Row],[Candidate 9]], "")</f>
        <v/>
      </c>
      <c r="AN220" s="114" t="str">
        <f>IF(NOT(ISBLANK(Audit[[#This Row],[Audit Candidate 10]])), Audit[[#This Row],[Audit Candidate 10]]-Audit[[#This Row],[Candidate 10]], "")</f>
        <v/>
      </c>
      <c r="AO220" s="114" t="str">
        <f>IF(NOT(ISBLANK(Audit[[#This Row],[Audit Candidate 11]])), Audit[[#This Row],[Audit Candidate 11]]-Audit[[#This Row],[Candidate 11]], "")</f>
        <v/>
      </c>
      <c r="AP220" s="114" t="str">
        <f>IF(NOT(ISBLANK(Audit[[#This Row],[Audit Candidate 12]])), Audit[[#This Row],[Audit Candidate 12]]-Audit[[#This Row],[Candidate 12]], "")</f>
        <v/>
      </c>
      <c r="AQ220" s="114">
        <f>SUMIF(Audit[[#This Row],[Difference Winner]:[Difference Candidate 12]], "&gt;0")</f>
        <v>0</v>
      </c>
      <c r="AR220" s="114">
        <f>SUM(Audit[[#This Row],[Difference Winner]:[Difference Candidate 12]])</f>
        <v>0</v>
      </c>
      <c r="AS220" s="114">
        <f>IF(Audit[[#This Row],[Times p Drawn - With Replacement]]&gt;0, IF(Audit[[#This Row],[Canceled Differences]]&lt;0, Audit[[#This Row],[Max Differences]]+ABS(Audit[[#This Row],[Canceled Differences]]), Audit[[#This Row],[Max Differences]]), 0)</f>
        <v>0</v>
      </c>
      <c r="AT220" s="114">
        <f>'Sampling Data'!AB220</f>
        <v>1.3210290120725618E-2</v>
      </c>
      <c r="AU220" s="114">
        <f>IF(
      SUM(Audit[[#This Row],[Audit Losing Candidate]:[Audit Candidate 12]])
      &lt;&gt;0,
      (Audit[[#This Row],[Winning Candidate]]-Audit[[#This Row],[Losing Candidate]]-(Audit[[#This Row],[Audit Winning Candidate]]-Audit[[#This Row],[Audit Losing Candidate]]))/(Audit[[#Totals],[Winning Candidate]]-Audit[[#Totals],[Losing Candidate]]),
      0
)</f>
        <v>0</v>
      </c>
      <c r="AV2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0" s="114">
        <f>IF(Audit[[#This Row],[Max Relative Error (ep)]] = 0, 0, Audit[[#This Row],[Max Relative Error (ep)]]/Audit[[#This Row],[Error Bound (up) - Max. possible relative overstatement]])</f>
        <v>0</v>
      </c>
      <c r="BH2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0" s="114">
        <f t="shared" si="4"/>
        <v>1</v>
      </c>
      <c r="BJ220" s="114">
        <f>PRODUCT($BI$5:BI220)</f>
        <v>0.20973752198051165</v>
      </c>
      <c r="BK220" s="112">
        <f>1 - Audit[[#This Row],[K-M P Value]]</f>
        <v>0.79026247801948835</v>
      </c>
      <c r="BL220" s="114" t="str">
        <f>IF(Audit[[#This Row],[K-M P Value]]&gt;1-'General Info'!$B$12,"Continue", "Stop")</f>
        <v>Continue</v>
      </c>
      <c r="BM220" s="113" t="b">
        <f>IF(Audit[[#This Row],[Status - Continue or stop audit]] = "Continue", TRUE, IF(BL219 = "Continue", TRUE, FALSE))</f>
        <v>1</v>
      </c>
      <c r="BN220" s="113"/>
    </row>
    <row r="221" spans="1:66" ht="15" hidden="1" customHeight="1" x14ac:dyDescent="0.35">
      <c r="A221" s="114" t="str">
        <f>'Sampling Data'!AI221</f>
        <v/>
      </c>
      <c r="B221" s="114" t="str">
        <f>'Sampling Data'!A221</f>
        <v>0303 CIN 3-C   (ED)</v>
      </c>
      <c r="C221" s="114">
        <f>'Sampling Data'!B221</f>
        <v>83</v>
      </c>
      <c r="D221" s="114">
        <f>'Sampling Data'!C221</f>
        <v>11</v>
      </c>
      <c r="E221" s="115">
        <f>'Sampling Data'!D221</f>
        <v>8</v>
      </c>
      <c r="F221" s="115">
        <f>'Sampling Data'!E221</f>
        <v>0</v>
      </c>
      <c r="G221" s="115">
        <f>'Sampling Data'!F221</f>
        <v>0</v>
      </c>
      <c r="H221" s="115">
        <f>'Sampling Data'!G221</f>
        <v>0</v>
      </c>
      <c r="I221" s="115">
        <f>'Sampling Data'!H221</f>
        <v>0</v>
      </c>
      <c r="J221" s="115">
        <f>'Sampling Data'!I221</f>
        <v>0</v>
      </c>
      <c r="K221" s="115">
        <f>'Sampling Data'!J221</f>
        <v>0</v>
      </c>
      <c r="L221" s="115">
        <f>'Sampling Data'!K221</f>
        <v>0</v>
      </c>
      <c r="M221" s="115">
        <f>'Sampling Data'!L221</f>
        <v>0</v>
      </c>
      <c r="N221" s="115">
        <f>'Sampling Data'!M221</f>
        <v>0</v>
      </c>
      <c r="O221" s="114">
        <f>'Sampling Data'!N221</f>
        <v>0</v>
      </c>
      <c r="P221" s="114">
        <f>'Sampling Data'!O221</f>
        <v>0</v>
      </c>
      <c r="Q221" s="114">
        <f>'Sampling Data'!P221</f>
        <v>102</v>
      </c>
      <c r="R221" s="114">
        <f>'Sampling Data'!AJ221</f>
        <v>0</v>
      </c>
      <c r="S221" s="116"/>
      <c r="T221" s="116"/>
      <c r="U221" s="117"/>
      <c r="V221" s="117"/>
      <c r="W221" s="116"/>
      <c r="X221" s="116"/>
      <c r="Y221" s="116"/>
      <c r="Z221" s="116"/>
      <c r="AA221" s="15"/>
      <c r="AB221" s="15"/>
      <c r="AC221" s="15"/>
      <c r="AD221" s="15"/>
      <c r="AE221" s="118" t="str">
        <f>IF(NOT(ISBLANK(Audit[[#This Row],[Audit Winning Candidate]])), Audit[[#This Row],[Audit Winning Candidate]]-Audit[[#This Row],[Winning Candidate]], "")</f>
        <v/>
      </c>
      <c r="AF221" s="114" t="str">
        <f>IF(NOT(ISBLANK(Audit[[#This Row],[Audit Losing Candidate]])), Audit[[#This Row],[Audit Losing Candidate]]-Audit[[#This Row],[Losing Candidate]], "")</f>
        <v/>
      </c>
      <c r="AG221" s="114" t="str">
        <f>IF(NOT(ISBLANK(Audit[[#This Row],[Audit Candidate 3]])), Audit[[#This Row],[Audit Candidate 3]]-Audit[[#This Row],[Candidate 3]], "")</f>
        <v/>
      </c>
      <c r="AH221" s="114" t="str">
        <f>IF(NOT(ISBLANK(Audit[[#This Row],[Audit Candidate 4]])),Audit[[#This Row],[Audit Candidate 4]]-Audit[[#This Row],[Candidate 4]], "")</f>
        <v/>
      </c>
      <c r="AI221" s="114" t="str">
        <f>IF(NOT(ISBLANK(Audit[[#This Row],[Audit Candidate 5]])), Audit[[#This Row],[Audit Candidate 5]]-Audit[[#This Row],[Candidate 5]], "")</f>
        <v/>
      </c>
      <c r="AJ221" s="114" t="str">
        <f>IF(NOT(ISBLANK(Audit[[#This Row],[Audit Candidate 6]])), Audit[[#This Row],[Audit Candidate 6]]-Audit[[#This Row],[Candidate 6]], "")</f>
        <v/>
      </c>
      <c r="AK221" s="114" t="str">
        <f>IF(NOT(ISBLANK(Audit[[#This Row],[Audit Candidate 7]])), Audit[[#This Row],[Audit Candidate 7]]-Audit[[#This Row],[Candidate 7]], "")</f>
        <v/>
      </c>
      <c r="AL221" s="114" t="str">
        <f>IF(NOT(ISBLANK(Audit[[#This Row],[Audit Candidate 8]])), Audit[[#This Row],[Audit Candidate 8]]-Audit[[#This Row],[Candidate 8]], "")</f>
        <v/>
      </c>
      <c r="AM221" s="114" t="str">
        <f>IF(NOT(ISBLANK(Audit[[#This Row],[Audit Candidate 9]])), Audit[[#This Row],[Audit Candidate 9]]-Audit[[#This Row],[Candidate 9]], "")</f>
        <v/>
      </c>
      <c r="AN221" s="114" t="str">
        <f>IF(NOT(ISBLANK(Audit[[#This Row],[Audit Candidate 10]])), Audit[[#This Row],[Audit Candidate 10]]-Audit[[#This Row],[Candidate 10]], "")</f>
        <v/>
      </c>
      <c r="AO221" s="114" t="str">
        <f>IF(NOT(ISBLANK(Audit[[#This Row],[Audit Candidate 11]])), Audit[[#This Row],[Audit Candidate 11]]-Audit[[#This Row],[Candidate 11]], "")</f>
        <v/>
      </c>
      <c r="AP221" s="114" t="str">
        <f>IF(NOT(ISBLANK(Audit[[#This Row],[Audit Candidate 12]])), Audit[[#This Row],[Audit Candidate 12]]-Audit[[#This Row],[Candidate 12]], "")</f>
        <v/>
      </c>
      <c r="AQ221" s="114">
        <f>SUMIF(Audit[[#This Row],[Difference Winner]:[Difference Candidate 12]], "&gt;0")</f>
        <v>0</v>
      </c>
      <c r="AR221" s="114">
        <f>SUM(Audit[[#This Row],[Difference Winner]:[Difference Candidate 12]])</f>
        <v>0</v>
      </c>
      <c r="AS221" s="114">
        <f>IF(Audit[[#This Row],[Times p Drawn - With Replacement]]&gt;0, IF(Audit[[#This Row],[Canceled Differences]]&lt;0, Audit[[#This Row],[Max Differences]]+ABS(Audit[[#This Row],[Canceled Differences]]), Audit[[#This Row],[Max Differences]]), 0)</f>
        <v>0</v>
      </c>
      <c r="AT221" s="114">
        <f>'Sampling Data'!AB221</f>
        <v>1.0998040578977309E-2</v>
      </c>
      <c r="AU221" s="114">
        <f>IF(
      SUM(Audit[[#This Row],[Audit Losing Candidate]:[Audit Candidate 12]])
      &lt;&gt;0,
      (Audit[[#This Row],[Winning Candidate]]-Audit[[#This Row],[Losing Candidate]]-(Audit[[#This Row],[Audit Winning Candidate]]-Audit[[#This Row],[Audit Losing Candidate]]))/(Audit[[#Totals],[Winning Candidate]]-Audit[[#Totals],[Losing Candidate]]),
      0
)</f>
        <v>0</v>
      </c>
      <c r="AV2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1" s="114">
        <f>IF(Audit[[#This Row],[Max Relative Error (ep)]] = 0, 0, Audit[[#This Row],[Max Relative Error (ep)]]/Audit[[#This Row],[Error Bound (up) - Max. possible relative overstatement]])</f>
        <v>0</v>
      </c>
      <c r="BH2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1" s="114">
        <f t="shared" si="4"/>
        <v>1</v>
      </c>
      <c r="BJ221" s="114">
        <f>PRODUCT($BI$5:BI221)</f>
        <v>0.20973752198051165</v>
      </c>
      <c r="BK221" s="112">
        <f>1 - Audit[[#This Row],[K-M P Value]]</f>
        <v>0.79026247801948835</v>
      </c>
      <c r="BL221" s="114" t="str">
        <f>IF(Audit[[#This Row],[K-M P Value]]&gt;1-'General Info'!$B$12,"Continue", "Stop")</f>
        <v>Continue</v>
      </c>
      <c r="BM221" s="113" t="b">
        <f>IF(Audit[[#This Row],[Status - Continue or stop audit]] = "Continue", TRUE, IF(BL220 = "Continue", TRUE, FALSE))</f>
        <v>1</v>
      </c>
      <c r="BN221" s="113"/>
    </row>
    <row r="222" spans="1:66" ht="15" hidden="1" customHeight="1" x14ac:dyDescent="0.35">
      <c r="A222" s="114" t="str">
        <f>'Sampling Data'!AI222</f>
        <v/>
      </c>
      <c r="B222" s="114" t="str">
        <f>'Sampling Data'!A222</f>
        <v>0304 CIN 3-D   (ED)</v>
      </c>
      <c r="C222" s="114">
        <f>'Sampling Data'!B222</f>
        <v>110</v>
      </c>
      <c r="D222" s="114">
        <f>'Sampling Data'!C222</f>
        <v>3</v>
      </c>
      <c r="E222" s="115">
        <f>'Sampling Data'!D222</f>
        <v>1</v>
      </c>
      <c r="F222" s="115">
        <f>'Sampling Data'!E222</f>
        <v>0</v>
      </c>
      <c r="G222" s="115">
        <f>'Sampling Data'!F222</f>
        <v>0</v>
      </c>
      <c r="H222" s="115">
        <f>'Sampling Data'!G222</f>
        <v>0</v>
      </c>
      <c r="I222" s="115">
        <f>'Sampling Data'!H222</f>
        <v>0</v>
      </c>
      <c r="J222" s="115">
        <f>'Sampling Data'!I222</f>
        <v>0</v>
      </c>
      <c r="K222" s="115">
        <f>'Sampling Data'!J222</f>
        <v>0</v>
      </c>
      <c r="L222" s="115">
        <f>'Sampling Data'!K222</f>
        <v>0</v>
      </c>
      <c r="M222" s="115">
        <f>'Sampling Data'!L222</f>
        <v>0</v>
      </c>
      <c r="N222" s="115">
        <f>'Sampling Data'!M222</f>
        <v>0</v>
      </c>
      <c r="O222" s="114">
        <f>'Sampling Data'!N222</f>
        <v>0</v>
      </c>
      <c r="P222" s="114">
        <f>'Sampling Data'!O222</f>
        <v>0</v>
      </c>
      <c r="Q222" s="114">
        <f>'Sampling Data'!P222</f>
        <v>114</v>
      </c>
      <c r="R222" s="114">
        <f>'Sampling Data'!AJ222</f>
        <v>0</v>
      </c>
      <c r="S222" s="116"/>
      <c r="T222" s="116"/>
      <c r="U222" s="117"/>
      <c r="V222" s="117"/>
      <c r="W222" s="116"/>
      <c r="X222" s="116"/>
      <c r="Y222" s="116"/>
      <c r="Z222" s="116"/>
      <c r="AA222" s="15"/>
      <c r="AB222" s="15"/>
      <c r="AC222" s="15"/>
      <c r="AD222" s="15"/>
      <c r="AE222" s="118" t="str">
        <f>IF(NOT(ISBLANK(Audit[[#This Row],[Audit Winning Candidate]])), Audit[[#This Row],[Audit Winning Candidate]]-Audit[[#This Row],[Winning Candidate]], "")</f>
        <v/>
      </c>
      <c r="AF222" s="114" t="str">
        <f>IF(NOT(ISBLANK(Audit[[#This Row],[Audit Losing Candidate]])), Audit[[#This Row],[Audit Losing Candidate]]-Audit[[#This Row],[Losing Candidate]], "")</f>
        <v/>
      </c>
      <c r="AG222" s="114" t="str">
        <f>IF(NOT(ISBLANK(Audit[[#This Row],[Audit Candidate 3]])), Audit[[#This Row],[Audit Candidate 3]]-Audit[[#This Row],[Candidate 3]], "")</f>
        <v/>
      </c>
      <c r="AH222" s="114" t="str">
        <f>IF(NOT(ISBLANK(Audit[[#This Row],[Audit Candidate 4]])),Audit[[#This Row],[Audit Candidate 4]]-Audit[[#This Row],[Candidate 4]], "")</f>
        <v/>
      </c>
      <c r="AI222" s="114" t="str">
        <f>IF(NOT(ISBLANK(Audit[[#This Row],[Audit Candidate 5]])), Audit[[#This Row],[Audit Candidate 5]]-Audit[[#This Row],[Candidate 5]], "")</f>
        <v/>
      </c>
      <c r="AJ222" s="114" t="str">
        <f>IF(NOT(ISBLANK(Audit[[#This Row],[Audit Candidate 6]])), Audit[[#This Row],[Audit Candidate 6]]-Audit[[#This Row],[Candidate 6]], "")</f>
        <v/>
      </c>
      <c r="AK222" s="114" t="str">
        <f>IF(NOT(ISBLANK(Audit[[#This Row],[Audit Candidate 7]])), Audit[[#This Row],[Audit Candidate 7]]-Audit[[#This Row],[Candidate 7]], "")</f>
        <v/>
      </c>
      <c r="AL222" s="114" t="str">
        <f>IF(NOT(ISBLANK(Audit[[#This Row],[Audit Candidate 8]])), Audit[[#This Row],[Audit Candidate 8]]-Audit[[#This Row],[Candidate 8]], "")</f>
        <v/>
      </c>
      <c r="AM222" s="114" t="str">
        <f>IF(NOT(ISBLANK(Audit[[#This Row],[Audit Candidate 9]])), Audit[[#This Row],[Audit Candidate 9]]-Audit[[#This Row],[Candidate 9]], "")</f>
        <v/>
      </c>
      <c r="AN222" s="114" t="str">
        <f>IF(NOT(ISBLANK(Audit[[#This Row],[Audit Candidate 10]])), Audit[[#This Row],[Audit Candidate 10]]-Audit[[#This Row],[Candidate 10]], "")</f>
        <v/>
      </c>
      <c r="AO222" s="114" t="str">
        <f>IF(NOT(ISBLANK(Audit[[#This Row],[Audit Candidate 11]])), Audit[[#This Row],[Audit Candidate 11]]-Audit[[#This Row],[Candidate 11]], "")</f>
        <v/>
      </c>
      <c r="AP222" s="114" t="str">
        <f>IF(NOT(ISBLANK(Audit[[#This Row],[Audit Candidate 12]])), Audit[[#This Row],[Audit Candidate 12]]-Audit[[#This Row],[Candidate 12]], "")</f>
        <v/>
      </c>
      <c r="AQ222" s="114">
        <f>SUMIF(Audit[[#This Row],[Difference Winner]:[Difference Candidate 12]], "&gt;0")</f>
        <v>0</v>
      </c>
      <c r="AR222" s="114">
        <f>SUM(Audit[[#This Row],[Difference Winner]:[Difference Candidate 12]])</f>
        <v>0</v>
      </c>
      <c r="AS222" s="114">
        <f>IF(Audit[[#This Row],[Times p Drawn - With Replacement]]&gt;0, IF(Audit[[#This Row],[Canceled Differences]]&lt;0, Audit[[#This Row],[Max Differences]]+ABS(Audit[[#This Row],[Canceled Differences]]), Audit[[#This Row],[Max Differences]]), 0)</f>
        <v>0</v>
      </c>
      <c r="AT222" s="114">
        <f>'Sampling Data'!AB222</f>
        <v>1.3968775677896467E-2</v>
      </c>
      <c r="AU222" s="114">
        <f>IF(
      SUM(Audit[[#This Row],[Audit Losing Candidate]:[Audit Candidate 12]])
      &lt;&gt;0,
      (Audit[[#This Row],[Winning Candidate]]-Audit[[#This Row],[Losing Candidate]]-(Audit[[#This Row],[Audit Winning Candidate]]-Audit[[#This Row],[Audit Losing Candidate]]))/(Audit[[#Totals],[Winning Candidate]]-Audit[[#Totals],[Losing Candidate]]),
      0
)</f>
        <v>0</v>
      </c>
      <c r="AV2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2" s="114">
        <f>IF(Audit[[#This Row],[Max Relative Error (ep)]] = 0, 0, Audit[[#This Row],[Max Relative Error (ep)]]/Audit[[#This Row],[Error Bound (up) - Max. possible relative overstatement]])</f>
        <v>0</v>
      </c>
      <c r="BH2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2" s="114">
        <f t="shared" si="4"/>
        <v>1</v>
      </c>
      <c r="BJ222" s="114">
        <f>PRODUCT($BI$5:BI222)</f>
        <v>0.20973752198051165</v>
      </c>
      <c r="BK222" s="112">
        <f>1 - Audit[[#This Row],[K-M P Value]]</f>
        <v>0.79026247801948835</v>
      </c>
      <c r="BL222" s="114" t="str">
        <f>IF(Audit[[#This Row],[K-M P Value]]&gt;1-'General Info'!$B$12,"Continue", "Stop")</f>
        <v>Continue</v>
      </c>
      <c r="BM222" s="113" t="b">
        <f>IF(Audit[[#This Row],[Status - Continue or stop audit]] = "Continue", TRUE, IF(BL221 = "Continue", TRUE, FALSE))</f>
        <v>1</v>
      </c>
      <c r="BN222" s="113"/>
    </row>
    <row r="223" spans="1:66" ht="15" hidden="1" customHeight="1" x14ac:dyDescent="0.35">
      <c r="A223" s="114" t="str">
        <f>'Sampling Data'!AI223</f>
        <v/>
      </c>
      <c r="B223" s="114" t="str">
        <f>'Sampling Data'!A223</f>
        <v>0305 CIN 3-E   (ED)</v>
      </c>
      <c r="C223" s="114">
        <f>'Sampling Data'!B223</f>
        <v>114</v>
      </c>
      <c r="D223" s="114">
        <f>'Sampling Data'!C223</f>
        <v>0</v>
      </c>
      <c r="E223" s="115">
        <f>'Sampling Data'!D223</f>
        <v>2</v>
      </c>
      <c r="F223" s="115">
        <f>'Sampling Data'!E223</f>
        <v>0</v>
      </c>
      <c r="G223" s="115">
        <f>'Sampling Data'!F223</f>
        <v>0</v>
      </c>
      <c r="H223" s="115">
        <f>'Sampling Data'!G223</f>
        <v>0</v>
      </c>
      <c r="I223" s="115">
        <f>'Sampling Data'!H223</f>
        <v>0</v>
      </c>
      <c r="J223" s="115">
        <f>'Sampling Data'!I223</f>
        <v>0</v>
      </c>
      <c r="K223" s="115">
        <f>'Sampling Data'!J223</f>
        <v>0</v>
      </c>
      <c r="L223" s="115">
        <f>'Sampling Data'!K223</f>
        <v>0</v>
      </c>
      <c r="M223" s="115">
        <f>'Sampling Data'!L223</f>
        <v>0</v>
      </c>
      <c r="N223" s="115">
        <f>'Sampling Data'!M223</f>
        <v>0</v>
      </c>
      <c r="O223" s="114">
        <f>'Sampling Data'!N223</f>
        <v>0</v>
      </c>
      <c r="P223" s="114">
        <f>'Sampling Data'!O223</f>
        <v>0</v>
      </c>
      <c r="Q223" s="114">
        <f>'Sampling Data'!P223</f>
        <v>116</v>
      </c>
      <c r="R223" s="114">
        <f>'Sampling Data'!AJ223</f>
        <v>0</v>
      </c>
      <c r="S223" s="116"/>
      <c r="T223" s="116"/>
      <c r="U223" s="117"/>
      <c r="V223" s="117"/>
      <c r="W223" s="116"/>
      <c r="X223" s="116"/>
      <c r="Y223" s="116"/>
      <c r="Z223" s="116"/>
      <c r="AA223" s="15"/>
      <c r="AB223" s="15"/>
      <c r="AC223" s="15"/>
      <c r="AD223" s="15"/>
      <c r="AE223" s="118" t="str">
        <f>IF(NOT(ISBLANK(Audit[[#This Row],[Audit Winning Candidate]])), Audit[[#This Row],[Audit Winning Candidate]]-Audit[[#This Row],[Winning Candidate]], "")</f>
        <v/>
      </c>
      <c r="AF223" s="114" t="str">
        <f>IF(NOT(ISBLANK(Audit[[#This Row],[Audit Losing Candidate]])), Audit[[#This Row],[Audit Losing Candidate]]-Audit[[#This Row],[Losing Candidate]], "")</f>
        <v/>
      </c>
      <c r="AG223" s="114" t="str">
        <f>IF(NOT(ISBLANK(Audit[[#This Row],[Audit Candidate 3]])), Audit[[#This Row],[Audit Candidate 3]]-Audit[[#This Row],[Candidate 3]], "")</f>
        <v/>
      </c>
      <c r="AH223" s="114" t="str">
        <f>IF(NOT(ISBLANK(Audit[[#This Row],[Audit Candidate 4]])),Audit[[#This Row],[Audit Candidate 4]]-Audit[[#This Row],[Candidate 4]], "")</f>
        <v/>
      </c>
      <c r="AI223" s="114" t="str">
        <f>IF(NOT(ISBLANK(Audit[[#This Row],[Audit Candidate 5]])), Audit[[#This Row],[Audit Candidate 5]]-Audit[[#This Row],[Candidate 5]], "")</f>
        <v/>
      </c>
      <c r="AJ223" s="114" t="str">
        <f>IF(NOT(ISBLANK(Audit[[#This Row],[Audit Candidate 6]])), Audit[[#This Row],[Audit Candidate 6]]-Audit[[#This Row],[Candidate 6]], "")</f>
        <v/>
      </c>
      <c r="AK223" s="114" t="str">
        <f>IF(NOT(ISBLANK(Audit[[#This Row],[Audit Candidate 7]])), Audit[[#This Row],[Audit Candidate 7]]-Audit[[#This Row],[Candidate 7]], "")</f>
        <v/>
      </c>
      <c r="AL223" s="114" t="str">
        <f>IF(NOT(ISBLANK(Audit[[#This Row],[Audit Candidate 8]])), Audit[[#This Row],[Audit Candidate 8]]-Audit[[#This Row],[Candidate 8]], "")</f>
        <v/>
      </c>
      <c r="AM223" s="114" t="str">
        <f>IF(NOT(ISBLANK(Audit[[#This Row],[Audit Candidate 9]])), Audit[[#This Row],[Audit Candidate 9]]-Audit[[#This Row],[Candidate 9]], "")</f>
        <v/>
      </c>
      <c r="AN223" s="114" t="str">
        <f>IF(NOT(ISBLANK(Audit[[#This Row],[Audit Candidate 10]])), Audit[[#This Row],[Audit Candidate 10]]-Audit[[#This Row],[Candidate 10]], "")</f>
        <v/>
      </c>
      <c r="AO223" s="114" t="str">
        <f>IF(NOT(ISBLANK(Audit[[#This Row],[Audit Candidate 11]])), Audit[[#This Row],[Audit Candidate 11]]-Audit[[#This Row],[Candidate 11]], "")</f>
        <v/>
      </c>
      <c r="AP223" s="114" t="str">
        <f>IF(NOT(ISBLANK(Audit[[#This Row],[Audit Candidate 12]])), Audit[[#This Row],[Audit Candidate 12]]-Audit[[#This Row],[Candidate 12]], "")</f>
        <v/>
      </c>
      <c r="AQ223" s="114">
        <f>SUMIF(Audit[[#This Row],[Difference Winner]:[Difference Candidate 12]], "&gt;0")</f>
        <v>0</v>
      </c>
      <c r="AR223" s="114">
        <f>SUM(Audit[[#This Row],[Difference Winner]:[Difference Candidate 12]])</f>
        <v>0</v>
      </c>
      <c r="AS223" s="114">
        <f>IF(Audit[[#This Row],[Times p Drawn - With Replacement]]&gt;0, IF(Audit[[#This Row],[Canceled Differences]]&lt;0, Audit[[#This Row],[Max Differences]]+ABS(Audit[[#This Row],[Canceled Differences]]), Audit[[#This Row],[Max Differences]]), 0)</f>
        <v>0</v>
      </c>
      <c r="AT223" s="114">
        <f>'Sampling Data'!AB223</f>
        <v>1.4537639845774603E-2</v>
      </c>
      <c r="AU223" s="114">
        <f>IF(
      SUM(Audit[[#This Row],[Audit Losing Candidate]:[Audit Candidate 12]])
      &lt;&gt;0,
      (Audit[[#This Row],[Winning Candidate]]-Audit[[#This Row],[Losing Candidate]]-(Audit[[#This Row],[Audit Winning Candidate]]-Audit[[#This Row],[Audit Losing Candidate]]))/(Audit[[#Totals],[Winning Candidate]]-Audit[[#Totals],[Losing Candidate]]),
      0
)</f>
        <v>0</v>
      </c>
      <c r="AV2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3" s="114">
        <f>IF(Audit[[#This Row],[Max Relative Error (ep)]] = 0, 0, Audit[[#This Row],[Max Relative Error (ep)]]/Audit[[#This Row],[Error Bound (up) - Max. possible relative overstatement]])</f>
        <v>0</v>
      </c>
      <c r="BH2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3" s="114">
        <f t="shared" si="4"/>
        <v>1</v>
      </c>
      <c r="BJ223" s="114">
        <f>PRODUCT($BI$5:BI223)</f>
        <v>0.20973752198051165</v>
      </c>
      <c r="BK223" s="112">
        <f>1 - Audit[[#This Row],[K-M P Value]]</f>
        <v>0.79026247801948835</v>
      </c>
      <c r="BL223" s="114" t="str">
        <f>IF(Audit[[#This Row],[K-M P Value]]&gt;1-'General Info'!$B$12,"Continue", "Stop")</f>
        <v>Continue</v>
      </c>
      <c r="BM223" s="113" t="b">
        <f>IF(Audit[[#This Row],[Status - Continue or stop audit]] = "Continue", TRUE, IF(BL222 = "Continue", TRUE, FALSE))</f>
        <v>1</v>
      </c>
      <c r="BN223" s="113"/>
    </row>
    <row r="224" spans="1:66" ht="15" hidden="1" customHeight="1" x14ac:dyDescent="0.35">
      <c r="A224" s="114" t="str">
        <f>'Sampling Data'!AI224</f>
        <v/>
      </c>
      <c r="B224" s="114" t="str">
        <f>'Sampling Data'!A224</f>
        <v>0401 CIN 4-A   (ED)</v>
      </c>
      <c r="C224" s="114">
        <f>'Sampling Data'!B224</f>
        <v>142</v>
      </c>
      <c r="D224" s="114">
        <f>'Sampling Data'!C224</f>
        <v>25</v>
      </c>
      <c r="E224" s="115">
        <f>'Sampling Data'!D224</f>
        <v>10</v>
      </c>
      <c r="F224" s="115">
        <f>'Sampling Data'!E224</f>
        <v>0</v>
      </c>
      <c r="G224" s="115">
        <f>'Sampling Data'!F224</f>
        <v>0</v>
      </c>
      <c r="H224" s="115">
        <f>'Sampling Data'!G224</f>
        <v>0</v>
      </c>
      <c r="I224" s="115">
        <f>'Sampling Data'!H224</f>
        <v>0</v>
      </c>
      <c r="J224" s="115">
        <f>'Sampling Data'!I224</f>
        <v>0</v>
      </c>
      <c r="K224" s="115">
        <f>'Sampling Data'!J224</f>
        <v>0</v>
      </c>
      <c r="L224" s="115">
        <f>'Sampling Data'!K224</f>
        <v>0</v>
      </c>
      <c r="M224" s="115">
        <f>'Sampling Data'!L224</f>
        <v>0</v>
      </c>
      <c r="N224" s="115">
        <f>'Sampling Data'!M224</f>
        <v>0</v>
      </c>
      <c r="O224" s="114">
        <f>'Sampling Data'!N224</f>
        <v>0</v>
      </c>
      <c r="P224" s="114">
        <f>'Sampling Data'!O224</f>
        <v>0</v>
      </c>
      <c r="Q224" s="114">
        <f>'Sampling Data'!P224</f>
        <v>177</v>
      </c>
      <c r="R224" s="114">
        <f>'Sampling Data'!AJ224</f>
        <v>0</v>
      </c>
      <c r="S224" s="116"/>
      <c r="T224" s="116"/>
      <c r="U224" s="117"/>
      <c r="V224" s="117"/>
      <c r="W224" s="116"/>
      <c r="X224" s="116"/>
      <c r="Y224" s="116"/>
      <c r="Z224" s="116"/>
      <c r="AA224" s="15"/>
      <c r="AB224" s="15"/>
      <c r="AC224" s="15"/>
      <c r="AD224" s="15"/>
      <c r="AE224" s="118" t="str">
        <f>IF(NOT(ISBLANK(Audit[[#This Row],[Audit Winning Candidate]])), Audit[[#This Row],[Audit Winning Candidate]]-Audit[[#This Row],[Winning Candidate]], "")</f>
        <v/>
      </c>
      <c r="AF224" s="114" t="str">
        <f>IF(NOT(ISBLANK(Audit[[#This Row],[Audit Losing Candidate]])), Audit[[#This Row],[Audit Losing Candidate]]-Audit[[#This Row],[Losing Candidate]], "")</f>
        <v/>
      </c>
      <c r="AG224" s="114" t="str">
        <f>IF(NOT(ISBLANK(Audit[[#This Row],[Audit Candidate 3]])), Audit[[#This Row],[Audit Candidate 3]]-Audit[[#This Row],[Candidate 3]], "")</f>
        <v/>
      </c>
      <c r="AH224" s="114" t="str">
        <f>IF(NOT(ISBLANK(Audit[[#This Row],[Audit Candidate 4]])),Audit[[#This Row],[Audit Candidate 4]]-Audit[[#This Row],[Candidate 4]], "")</f>
        <v/>
      </c>
      <c r="AI224" s="114" t="str">
        <f>IF(NOT(ISBLANK(Audit[[#This Row],[Audit Candidate 5]])), Audit[[#This Row],[Audit Candidate 5]]-Audit[[#This Row],[Candidate 5]], "")</f>
        <v/>
      </c>
      <c r="AJ224" s="114" t="str">
        <f>IF(NOT(ISBLANK(Audit[[#This Row],[Audit Candidate 6]])), Audit[[#This Row],[Audit Candidate 6]]-Audit[[#This Row],[Candidate 6]], "")</f>
        <v/>
      </c>
      <c r="AK224" s="114" t="str">
        <f>IF(NOT(ISBLANK(Audit[[#This Row],[Audit Candidate 7]])), Audit[[#This Row],[Audit Candidate 7]]-Audit[[#This Row],[Candidate 7]], "")</f>
        <v/>
      </c>
      <c r="AL224" s="114" t="str">
        <f>IF(NOT(ISBLANK(Audit[[#This Row],[Audit Candidate 8]])), Audit[[#This Row],[Audit Candidate 8]]-Audit[[#This Row],[Candidate 8]], "")</f>
        <v/>
      </c>
      <c r="AM224" s="114" t="str">
        <f>IF(NOT(ISBLANK(Audit[[#This Row],[Audit Candidate 9]])), Audit[[#This Row],[Audit Candidate 9]]-Audit[[#This Row],[Candidate 9]], "")</f>
        <v/>
      </c>
      <c r="AN224" s="114" t="str">
        <f>IF(NOT(ISBLANK(Audit[[#This Row],[Audit Candidate 10]])), Audit[[#This Row],[Audit Candidate 10]]-Audit[[#This Row],[Candidate 10]], "")</f>
        <v/>
      </c>
      <c r="AO224" s="114" t="str">
        <f>IF(NOT(ISBLANK(Audit[[#This Row],[Audit Candidate 11]])), Audit[[#This Row],[Audit Candidate 11]]-Audit[[#This Row],[Candidate 11]], "")</f>
        <v/>
      </c>
      <c r="AP224" s="114" t="str">
        <f>IF(NOT(ISBLANK(Audit[[#This Row],[Audit Candidate 12]])), Audit[[#This Row],[Audit Candidate 12]]-Audit[[#This Row],[Candidate 12]], "")</f>
        <v/>
      </c>
      <c r="AQ224" s="114">
        <f>SUMIF(Audit[[#This Row],[Difference Winner]:[Difference Candidate 12]], "&gt;0")</f>
        <v>0</v>
      </c>
      <c r="AR224" s="114">
        <f>SUM(Audit[[#This Row],[Difference Winner]:[Difference Candidate 12]])</f>
        <v>0</v>
      </c>
      <c r="AS224" s="114">
        <f>IF(Audit[[#This Row],[Times p Drawn - With Replacement]]&gt;0, IF(Audit[[#This Row],[Canceled Differences]]&lt;0, Audit[[#This Row],[Max Differences]]+ABS(Audit[[#This Row],[Canceled Differences]]), Audit[[#This Row],[Max Differences]]), 0)</f>
        <v>0</v>
      </c>
      <c r="AT224" s="114">
        <f>'Sampling Data'!AB224</f>
        <v>1.8582896150685799E-2</v>
      </c>
      <c r="AU224" s="114">
        <f>IF(
      SUM(Audit[[#This Row],[Audit Losing Candidate]:[Audit Candidate 12]])
      &lt;&gt;0,
      (Audit[[#This Row],[Winning Candidate]]-Audit[[#This Row],[Losing Candidate]]-(Audit[[#This Row],[Audit Winning Candidate]]-Audit[[#This Row],[Audit Losing Candidate]]))/(Audit[[#Totals],[Winning Candidate]]-Audit[[#Totals],[Losing Candidate]]),
      0
)</f>
        <v>0</v>
      </c>
      <c r="AV2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4" s="114">
        <f>IF(Audit[[#This Row],[Max Relative Error (ep)]] = 0, 0, Audit[[#This Row],[Max Relative Error (ep)]]/Audit[[#This Row],[Error Bound (up) - Max. possible relative overstatement]])</f>
        <v>0</v>
      </c>
      <c r="BH2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4" s="114">
        <f t="shared" si="4"/>
        <v>1</v>
      </c>
      <c r="BJ224" s="114">
        <f>PRODUCT($BI$5:BI224)</f>
        <v>0.20973752198051165</v>
      </c>
      <c r="BK224" s="112">
        <f>1 - Audit[[#This Row],[K-M P Value]]</f>
        <v>0.79026247801948835</v>
      </c>
      <c r="BL224" s="114" t="str">
        <f>IF(Audit[[#This Row],[K-M P Value]]&gt;1-'General Info'!$B$12,"Continue", "Stop")</f>
        <v>Continue</v>
      </c>
      <c r="BM224" s="113" t="b">
        <f>IF(Audit[[#This Row],[Status - Continue or stop audit]] = "Continue", TRUE, IF(BL223 = "Continue", TRUE, FALSE))</f>
        <v>1</v>
      </c>
      <c r="BN224" s="113"/>
    </row>
    <row r="225" spans="1:66" ht="15" hidden="1" customHeight="1" x14ac:dyDescent="0.35">
      <c r="A225" s="114" t="str">
        <f>'Sampling Data'!AI225</f>
        <v/>
      </c>
      <c r="B225" s="114" t="str">
        <f>'Sampling Data'!A225</f>
        <v>0402 CIN 4-B   (ED)</v>
      </c>
      <c r="C225" s="114">
        <f>'Sampling Data'!B225</f>
        <v>111</v>
      </c>
      <c r="D225" s="114">
        <f>'Sampling Data'!C225</f>
        <v>19</v>
      </c>
      <c r="E225" s="115">
        <f>'Sampling Data'!D225</f>
        <v>5</v>
      </c>
      <c r="F225" s="115">
        <f>'Sampling Data'!E225</f>
        <v>0</v>
      </c>
      <c r="G225" s="115">
        <f>'Sampling Data'!F225</f>
        <v>0</v>
      </c>
      <c r="H225" s="115">
        <f>'Sampling Data'!G225</f>
        <v>0</v>
      </c>
      <c r="I225" s="115">
        <f>'Sampling Data'!H225</f>
        <v>0</v>
      </c>
      <c r="J225" s="115">
        <f>'Sampling Data'!I225</f>
        <v>0</v>
      </c>
      <c r="K225" s="115">
        <f>'Sampling Data'!J225</f>
        <v>0</v>
      </c>
      <c r="L225" s="115">
        <f>'Sampling Data'!K225</f>
        <v>0</v>
      </c>
      <c r="M225" s="115">
        <f>'Sampling Data'!L225</f>
        <v>0</v>
      </c>
      <c r="N225" s="115">
        <f>'Sampling Data'!M225</f>
        <v>0</v>
      </c>
      <c r="O225" s="114">
        <f>'Sampling Data'!N225</f>
        <v>0</v>
      </c>
      <c r="P225" s="114">
        <f>'Sampling Data'!O225</f>
        <v>2</v>
      </c>
      <c r="Q225" s="114">
        <f>'Sampling Data'!P225</f>
        <v>137</v>
      </c>
      <c r="R225" s="114">
        <f>'Sampling Data'!AJ225</f>
        <v>0</v>
      </c>
      <c r="S225" s="116"/>
      <c r="T225" s="116"/>
      <c r="U225" s="117"/>
      <c r="V225" s="117"/>
      <c r="W225" s="116"/>
      <c r="X225" s="116"/>
      <c r="Y225" s="116"/>
      <c r="Z225" s="116"/>
      <c r="AA225" s="15"/>
      <c r="AB225" s="15"/>
      <c r="AC225" s="15"/>
      <c r="AD225" s="15"/>
      <c r="AE225" s="118" t="str">
        <f>IF(NOT(ISBLANK(Audit[[#This Row],[Audit Winning Candidate]])), Audit[[#This Row],[Audit Winning Candidate]]-Audit[[#This Row],[Winning Candidate]], "")</f>
        <v/>
      </c>
      <c r="AF225" s="114" t="str">
        <f>IF(NOT(ISBLANK(Audit[[#This Row],[Audit Losing Candidate]])), Audit[[#This Row],[Audit Losing Candidate]]-Audit[[#This Row],[Losing Candidate]], "")</f>
        <v/>
      </c>
      <c r="AG225" s="114" t="str">
        <f>IF(NOT(ISBLANK(Audit[[#This Row],[Audit Candidate 3]])), Audit[[#This Row],[Audit Candidate 3]]-Audit[[#This Row],[Candidate 3]], "")</f>
        <v/>
      </c>
      <c r="AH225" s="114" t="str">
        <f>IF(NOT(ISBLANK(Audit[[#This Row],[Audit Candidate 4]])),Audit[[#This Row],[Audit Candidate 4]]-Audit[[#This Row],[Candidate 4]], "")</f>
        <v/>
      </c>
      <c r="AI225" s="114" t="str">
        <f>IF(NOT(ISBLANK(Audit[[#This Row],[Audit Candidate 5]])), Audit[[#This Row],[Audit Candidate 5]]-Audit[[#This Row],[Candidate 5]], "")</f>
        <v/>
      </c>
      <c r="AJ225" s="114" t="str">
        <f>IF(NOT(ISBLANK(Audit[[#This Row],[Audit Candidate 6]])), Audit[[#This Row],[Audit Candidate 6]]-Audit[[#This Row],[Candidate 6]], "")</f>
        <v/>
      </c>
      <c r="AK225" s="114" t="str">
        <f>IF(NOT(ISBLANK(Audit[[#This Row],[Audit Candidate 7]])), Audit[[#This Row],[Audit Candidate 7]]-Audit[[#This Row],[Candidate 7]], "")</f>
        <v/>
      </c>
      <c r="AL225" s="114" t="str">
        <f>IF(NOT(ISBLANK(Audit[[#This Row],[Audit Candidate 8]])), Audit[[#This Row],[Audit Candidate 8]]-Audit[[#This Row],[Candidate 8]], "")</f>
        <v/>
      </c>
      <c r="AM225" s="114" t="str">
        <f>IF(NOT(ISBLANK(Audit[[#This Row],[Audit Candidate 9]])), Audit[[#This Row],[Audit Candidate 9]]-Audit[[#This Row],[Candidate 9]], "")</f>
        <v/>
      </c>
      <c r="AN225" s="114" t="str">
        <f>IF(NOT(ISBLANK(Audit[[#This Row],[Audit Candidate 10]])), Audit[[#This Row],[Audit Candidate 10]]-Audit[[#This Row],[Candidate 10]], "")</f>
        <v/>
      </c>
      <c r="AO225" s="114" t="str">
        <f>IF(NOT(ISBLANK(Audit[[#This Row],[Audit Candidate 11]])), Audit[[#This Row],[Audit Candidate 11]]-Audit[[#This Row],[Candidate 11]], "")</f>
        <v/>
      </c>
      <c r="AP225" s="114" t="str">
        <f>IF(NOT(ISBLANK(Audit[[#This Row],[Audit Candidate 12]])), Audit[[#This Row],[Audit Candidate 12]]-Audit[[#This Row],[Candidate 12]], "")</f>
        <v/>
      </c>
      <c r="AQ225" s="114">
        <f>SUMIF(Audit[[#This Row],[Difference Winner]:[Difference Candidate 12]], "&gt;0")</f>
        <v>0</v>
      </c>
      <c r="AR225" s="114">
        <f>SUM(Audit[[#This Row],[Difference Winner]:[Difference Candidate 12]])</f>
        <v>0</v>
      </c>
      <c r="AS225" s="114">
        <f>IF(Audit[[#This Row],[Times p Drawn - With Replacement]]&gt;0, IF(Audit[[#This Row],[Canceled Differences]]&lt;0, Audit[[#This Row],[Max Differences]]+ABS(Audit[[#This Row],[Canceled Differences]]), Audit[[#This Row],[Max Differences]]), 0)</f>
        <v>0</v>
      </c>
      <c r="AT225" s="114">
        <f>'Sampling Data'!AB225</f>
        <v>1.4474432716010366E-2</v>
      </c>
      <c r="AU225" s="114">
        <f>IF(
      SUM(Audit[[#This Row],[Audit Losing Candidate]:[Audit Candidate 12]])
      &lt;&gt;0,
      (Audit[[#This Row],[Winning Candidate]]-Audit[[#This Row],[Losing Candidate]]-(Audit[[#This Row],[Audit Winning Candidate]]-Audit[[#This Row],[Audit Losing Candidate]]))/(Audit[[#Totals],[Winning Candidate]]-Audit[[#Totals],[Losing Candidate]]),
      0
)</f>
        <v>0</v>
      </c>
      <c r="AV2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5" s="114">
        <f>IF(Audit[[#This Row],[Max Relative Error (ep)]] = 0, 0, Audit[[#This Row],[Max Relative Error (ep)]]/Audit[[#This Row],[Error Bound (up) - Max. possible relative overstatement]])</f>
        <v>0</v>
      </c>
      <c r="BH2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5" s="114">
        <f t="shared" si="4"/>
        <v>1</v>
      </c>
      <c r="BJ225" s="114">
        <f>PRODUCT($BI$5:BI225)</f>
        <v>0.20973752198051165</v>
      </c>
      <c r="BK225" s="112">
        <f>1 - Audit[[#This Row],[K-M P Value]]</f>
        <v>0.79026247801948835</v>
      </c>
      <c r="BL225" s="114" t="str">
        <f>IF(Audit[[#This Row],[K-M P Value]]&gt;1-'General Info'!$B$12,"Continue", "Stop")</f>
        <v>Continue</v>
      </c>
      <c r="BM225" s="113" t="b">
        <f>IF(Audit[[#This Row],[Status - Continue or stop audit]] = "Continue", TRUE, IF(BL224 = "Continue", TRUE, FALSE))</f>
        <v>1</v>
      </c>
      <c r="BN225" s="113"/>
    </row>
    <row r="226" spans="1:66" ht="15" hidden="1" customHeight="1" x14ac:dyDescent="0.35">
      <c r="A226" s="114" t="str">
        <f>'Sampling Data'!AI226</f>
        <v/>
      </c>
      <c r="B226" s="114" t="str">
        <f>'Sampling Data'!A226</f>
        <v>0403 CIN 4-C   (ED)</v>
      </c>
      <c r="C226" s="114">
        <f>'Sampling Data'!B226</f>
        <v>69</v>
      </c>
      <c r="D226" s="114">
        <f>'Sampling Data'!C226</f>
        <v>23</v>
      </c>
      <c r="E226" s="115">
        <f>'Sampling Data'!D226</f>
        <v>7</v>
      </c>
      <c r="F226" s="115">
        <f>'Sampling Data'!E226</f>
        <v>0</v>
      </c>
      <c r="G226" s="115">
        <f>'Sampling Data'!F226</f>
        <v>0</v>
      </c>
      <c r="H226" s="115">
        <f>'Sampling Data'!G226</f>
        <v>0</v>
      </c>
      <c r="I226" s="115">
        <f>'Sampling Data'!H226</f>
        <v>0</v>
      </c>
      <c r="J226" s="115">
        <f>'Sampling Data'!I226</f>
        <v>0</v>
      </c>
      <c r="K226" s="115">
        <f>'Sampling Data'!J226</f>
        <v>0</v>
      </c>
      <c r="L226" s="115">
        <f>'Sampling Data'!K226</f>
        <v>0</v>
      </c>
      <c r="M226" s="115">
        <f>'Sampling Data'!L226</f>
        <v>0</v>
      </c>
      <c r="N226" s="115">
        <f>'Sampling Data'!M226</f>
        <v>0</v>
      </c>
      <c r="O226" s="114">
        <f>'Sampling Data'!N226</f>
        <v>1</v>
      </c>
      <c r="P226" s="114">
        <f>'Sampling Data'!O226</f>
        <v>2</v>
      </c>
      <c r="Q226" s="114">
        <f>'Sampling Data'!P226</f>
        <v>102</v>
      </c>
      <c r="R226" s="114">
        <f>'Sampling Data'!AJ226</f>
        <v>0</v>
      </c>
      <c r="S226" s="116"/>
      <c r="T226" s="116"/>
      <c r="U226" s="117"/>
      <c r="V226" s="117"/>
      <c r="W226" s="116"/>
      <c r="X226" s="116"/>
      <c r="Y226" s="116"/>
      <c r="Z226" s="116"/>
      <c r="AA226" s="15"/>
      <c r="AB226" s="15"/>
      <c r="AC226" s="15"/>
      <c r="AD226" s="15"/>
      <c r="AE226" s="118" t="str">
        <f>IF(NOT(ISBLANK(Audit[[#This Row],[Audit Winning Candidate]])), Audit[[#This Row],[Audit Winning Candidate]]-Audit[[#This Row],[Winning Candidate]], "")</f>
        <v/>
      </c>
      <c r="AF226" s="114" t="str">
        <f>IF(NOT(ISBLANK(Audit[[#This Row],[Audit Losing Candidate]])), Audit[[#This Row],[Audit Losing Candidate]]-Audit[[#This Row],[Losing Candidate]], "")</f>
        <v/>
      </c>
      <c r="AG226" s="114" t="str">
        <f>IF(NOT(ISBLANK(Audit[[#This Row],[Audit Candidate 3]])), Audit[[#This Row],[Audit Candidate 3]]-Audit[[#This Row],[Candidate 3]], "")</f>
        <v/>
      </c>
      <c r="AH226" s="114" t="str">
        <f>IF(NOT(ISBLANK(Audit[[#This Row],[Audit Candidate 4]])),Audit[[#This Row],[Audit Candidate 4]]-Audit[[#This Row],[Candidate 4]], "")</f>
        <v/>
      </c>
      <c r="AI226" s="114" t="str">
        <f>IF(NOT(ISBLANK(Audit[[#This Row],[Audit Candidate 5]])), Audit[[#This Row],[Audit Candidate 5]]-Audit[[#This Row],[Candidate 5]], "")</f>
        <v/>
      </c>
      <c r="AJ226" s="114" t="str">
        <f>IF(NOT(ISBLANK(Audit[[#This Row],[Audit Candidate 6]])), Audit[[#This Row],[Audit Candidate 6]]-Audit[[#This Row],[Candidate 6]], "")</f>
        <v/>
      </c>
      <c r="AK226" s="114" t="str">
        <f>IF(NOT(ISBLANK(Audit[[#This Row],[Audit Candidate 7]])), Audit[[#This Row],[Audit Candidate 7]]-Audit[[#This Row],[Candidate 7]], "")</f>
        <v/>
      </c>
      <c r="AL226" s="114" t="str">
        <f>IF(NOT(ISBLANK(Audit[[#This Row],[Audit Candidate 8]])), Audit[[#This Row],[Audit Candidate 8]]-Audit[[#This Row],[Candidate 8]], "")</f>
        <v/>
      </c>
      <c r="AM226" s="114" t="str">
        <f>IF(NOT(ISBLANK(Audit[[#This Row],[Audit Candidate 9]])), Audit[[#This Row],[Audit Candidate 9]]-Audit[[#This Row],[Candidate 9]], "")</f>
        <v/>
      </c>
      <c r="AN226" s="114" t="str">
        <f>IF(NOT(ISBLANK(Audit[[#This Row],[Audit Candidate 10]])), Audit[[#This Row],[Audit Candidate 10]]-Audit[[#This Row],[Candidate 10]], "")</f>
        <v/>
      </c>
      <c r="AO226" s="114" t="str">
        <f>IF(NOT(ISBLANK(Audit[[#This Row],[Audit Candidate 11]])), Audit[[#This Row],[Audit Candidate 11]]-Audit[[#This Row],[Candidate 11]], "")</f>
        <v/>
      </c>
      <c r="AP226" s="114" t="str">
        <f>IF(NOT(ISBLANK(Audit[[#This Row],[Audit Candidate 12]])), Audit[[#This Row],[Audit Candidate 12]]-Audit[[#This Row],[Candidate 12]], "")</f>
        <v/>
      </c>
      <c r="AQ226" s="114">
        <f>SUMIF(Audit[[#This Row],[Difference Winner]:[Difference Candidate 12]], "&gt;0")</f>
        <v>0</v>
      </c>
      <c r="AR226" s="114">
        <f>SUM(Audit[[#This Row],[Difference Winner]:[Difference Candidate 12]])</f>
        <v>0</v>
      </c>
      <c r="AS226" s="114">
        <f>IF(Audit[[#This Row],[Times p Drawn - With Replacement]]&gt;0, IF(Audit[[#This Row],[Canceled Differences]]&lt;0, Audit[[#This Row],[Max Differences]]+ABS(Audit[[#This Row],[Canceled Differences]]), Audit[[#This Row],[Max Differences]]), 0)</f>
        <v>0</v>
      </c>
      <c r="AT226" s="114">
        <f>'Sampling Data'!AB226</f>
        <v>9.3546552051071361E-3</v>
      </c>
      <c r="AU226" s="114">
        <f>IF(
      SUM(Audit[[#This Row],[Audit Losing Candidate]:[Audit Candidate 12]])
      &lt;&gt;0,
      (Audit[[#This Row],[Winning Candidate]]-Audit[[#This Row],[Losing Candidate]]-(Audit[[#This Row],[Audit Winning Candidate]]-Audit[[#This Row],[Audit Losing Candidate]]))/(Audit[[#Totals],[Winning Candidate]]-Audit[[#Totals],[Losing Candidate]]),
      0
)</f>
        <v>0</v>
      </c>
      <c r="AV2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6" s="114">
        <f>IF(Audit[[#This Row],[Max Relative Error (ep)]] = 0, 0, Audit[[#This Row],[Max Relative Error (ep)]]/Audit[[#This Row],[Error Bound (up) - Max. possible relative overstatement]])</f>
        <v>0</v>
      </c>
      <c r="BH2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6" s="114">
        <f t="shared" si="4"/>
        <v>1</v>
      </c>
      <c r="BJ226" s="114">
        <f>PRODUCT($BI$5:BI226)</f>
        <v>0.20973752198051165</v>
      </c>
      <c r="BK226" s="112">
        <f>1 - Audit[[#This Row],[K-M P Value]]</f>
        <v>0.79026247801948835</v>
      </c>
      <c r="BL226" s="114" t="str">
        <f>IF(Audit[[#This Row],[K-M P Value]]&gt;1-'General Info'!$B$12,"Continue", "Stop")</f>
        <v>Continue</v>
      </c>
      <c r="BM226" s="113" t="b">
        <f>IF(Audit[[#This Row],[Status - Continue or stop audit]] = "Continue", TRUE, IF(BL225 = "Continue", TRUE, FALSE))</f>
        <v>1</v>
      </c>
      <c r="BN226" s="113"/>
    </row>
    <row r="227" spans="1:66" ht="15" hidden="1" customHeight="1" x14ac:dyDescent="0.35">
      <c r="A227" s="114" t="str">
        <f>'Sampling Data'!AI227</f>
        <v/>
      </c>
      <c r="B227" s="114" t="str">
        <f>'Sampling Data'!A227</f>
        <v>0404 CIN 4-D   (ED)</v>
      </c>
      <c r="C227" s="114">
        <f>'Sampling Data'!B227</f>
        <v>127</v>
      </c>
      <c r="D227" s="114">
        <f>'Sampling Data'!C227</f>
        <v>24</v>
      </c>
      <c r="E227" s="115">
        <f>'Sampling Data'!D227</f>
        <v>4</v>
      </c>
      <c r="F227" s="115">
        <f>'Sampling Data'!E227</f>
        <v>0</v>
      </c>
      <c r="G227" s="115">
        <f>'Sampling Data'!F227</f>
        <v>0</v>
      </c>
      <c r="H227" s="115">
        <f>'Sampling Data'!G227</f>
        <v>0</v>
      </c>
      <c r="I227" s="115">
        <f>'Sampling Data'!H227</f>
        <v>0</v>
      </c>
      <c r="J227" s="115">
        <f>'Sampling Data'!I227</f>
        <v>0</v>
      </c>
      <c r="K227" s="115">
        <f>'Sampling Data'!J227</f>
        <v>0</v>
      </c>
      <c r="L227" s="115">
        <f>'Sampling Data'!K227</f>
        <v>0</v>
      </c>
      <c r="M227" s="115">
        <f>'Sampling Data'!L227</f>
        <v>0</v>
      </c>
      <c r="N227" s="115">
        <f>'Sampling Data'!M227</f>
        <v>0</v>
      </c>
      <c r="O227" s="114">
        <f>'Sampling Data'!N227</f>
        <v>0</v>
      </c>
      <c r="P227" s="114">
        <f>'Sampling Data'!O227</f>
        <v>3</v>
      </c>
      <c r="Q227" s="114">
        <f>'Sampling Data'!P227</f>
        <v>158</v>
      </c>
      <c r="R227" s="114">
        <f>'Sampling Data'!AJ227</f>
        <v>0</v>
      </c>
      <c r="S227" s="116"/>
      <c r="T227" s="116"/>
      <c r="U227" s="117"/>
      <c r="V227" s="117"/>
      <c r="W227" s="116"/>
      <c r="X227" s="116"/>
      <c r="Y227" s="116"/>
      <c r="Z227" s="116"/>
      <c r="AA227" s="15"/>
      <c r="AB227" s="15"/>
      <c r="AC227" s="15"/>
      <c r="AD227" s="15"/>
      <c r="AE227" s="118" t="str">
        <f>IF(NOT(ISBLANK(Audit[[#This Row],[Audit Winning Candidate]])), Audit[[#This Row],[Audit Winning Candidate]]-Audit[[#This Row],[Winning Candidate]], "")</f>
        <v/>
      </c>
      <c r="AF227" s="114" t="str">
        <f>IF(NOT(ISBLANK(Audit[[#This Row],[Audit Losing Candidate]])), Audit[[#This Row],[Audit Losing Candidate]]-Audit[[#This Row],[Losing Candidate]], "")</f>
        <v/>
      </c>
      <c r="AG227" s="114" t="str">
        <f>IF(NOT(ISBLANK(Audit[[#This Row],[Audit Candidate 3]])), Audit[[#This Row],[Audit Candidate 3]]-Audit[[#This Row],[Candidate 3]], "")</f>
        <v/>
      </c>
      <c r="AH227" s="114" t="str">
        <f>IF(NOT(ISBLANK(Audit[[#This Row],[Audit Candidate 4]])),Audit[[#This Row],[Audit Candidate 4]]-Audit[[#This Row],[Candidate 4]], "")</f>
        <v/>
      </c>
      <c r="AI227" s="114" t="str">
        <f>IF(NOT(ISBLANK(Audit[[#This Row],[Audit Candidate 5]])), Audit[[#This Row],[Audit Candidate 5]]-Audit[[#This Row],[Candidate 5]], "")</f>
        <v/>
      </c>
      <c r="AJ227" s="114" t="str">
        <f>IF(NOT(ISBLANK(Audit[[#This Row],[Audit Candidate 6]])), Audit[[#This Row],[Audit Candidate 6]]-Audit[[#This Row],[Candidate 6]], "")</f>
        <v/>
      </c>
      <c r="AK227" s="114" t="str">
        <f>IF(NOT(ISBLANK(Audit[[#This Row],[Audit Candidate 7]])), Audit[[#This Row],[Audit Candidate 7]]-Audit[[#This Row],[Candidate 7]], "")</f>
        <v/>
      </c>
      <c r="AL227" s="114" t="str">
        <f>IF(NOT(ISBLANK(Audit[[#This Row],[Audit Candidate 8]])), Audit[[#This Row],[Audit Candidate 8]]-Audit[[#This Row],[Candidate 8]], "")</f>
        <v/>
      </c>
      <c r="AM227" s="114" t="str">
        <f>IF(NOT(ISBLANK(Audit[[#This Row],[Audit Candidate 9]])), Audit[[#This Row],[Audit Candidate 9]]-Audit[[#This Row],[Candidate 9]], "")</f>
        <v/>
      </c>
      <c r="AN227" s="114" t="str">
        <f>IF(NOT(ISBLANK(Audit[[#This Row],[Audit Candidate 10]])), Audit[[#This Row],[Audit Candidate 10]]-Audit[[#This Row],[Candidate 10]], "")</f>
        <v/>
      </c>
      <c r="AO227" s="114" t="str">
        <f>IF(NOT(ISBLANK(Audit[[#This Row],[Audit Candidate 11]])), Audit[[#This Row],[Audit Candidate 11]]-Audit[[#This Row],[Candidate 11]], "")</f>
        <v/>
      </c>
      <c r="AP227" s="114" t="str">
        <f>IF(NOT(ISBLANK(Audit[[#This Row],[Audit Candidate 12]])), Audit[[#This Row],[Audit Candidate 12]]-Audit[[#This Row],[Candidate 12]], "")</f>
        <v/>
      </c>
      <c r="AQ227" s="114">
        <f>SUMIF(Audit[[#This Row],[Difference Winner]:[Difference Candidate 12]], "&gt;0")</f>
        <v>0</v>
      </c>
      <c r="AR227" s="114">
        <f>SUM(Audit[[#This Row],[Difference Winner]:[Difference Candidate 12]])</f>
        <v>0</v>
      </c>
      <c r="AS227" s="114">
        <f>IF(Audit[[#This Row],[Times p Drawn - With Replacement]]&gt;0, IF(Audit[[#This Row],[Canceled Differences]]&lt;0, Audit[[#This Row],[Max Differences]]+ABS(Audit[[#This Row],[Canceled Differences]]), Audit[[#This Row],[Max Differences]]), 0)</f>
        <v>0</v>
      </c>
      <c r="AT227" s="114">
        <f>'Sampling Data'!AB227</f>
        <v>1.6497060868465963E-2</v>
      </c>
      <c r="AU227" s="114">
        <f>IF(
      SUM(Audit[[#This Row],[Audit Losing Candidate]:[Audit Candidate 12]])
      &lt;&gt;0,
      (Audit[[#This Row],[Winning Candidate]]-Audit[[#This Row],[Losing Candidate]]-(Audit[[#This Row],[Audit Winning Candidate]]-Audit[[#This Row],[Audit Losing Candidate]]))/(Audit[[#Totals],[Winning Candidate]]-Audit[[#Totals],[Losing Candidate]]),
      0
)</f>
        <v>0</v>
      </c>
      <c r="AV2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7" s="114">
        <f>IF(Audit[[#This Row],[Max Relative Error (ep)]] = 0, 0, Audit[[#This Row],[Max Relative Error (ep)]]/Audit[[#This Row],[Error Bound (up) - Max. possible relative overstatement]])</f>
        <v>0</v>
      </c>
      <c r="BH2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7" s="114">
        <f t="shared" si="4"/>
        <v>1</v>
      </c>
      <c r="BJ227" s="114">
        <f>PRODUCT($BI$5:BI227)</f>
        <v>0.20973752198051165</v>
      </c>
      <c r="BK227" s="112">
        <f>1 - Audit[[#This Row],[K-M P Value]]</f>
        <v>0.79026247801948835</v>
      </c>
      <c r="BL227" s="114" t="str">
        <f>IF(Audit[[#This Row],[K-M P Value]]&gt;1-'General Info'!$B$12,"Continue", "Stop")</f>
        <v>Continue</v>
      </c>
      <c r="BM227" s="113" t="b">
        <f>IF(Audit[[#This Row],[Status - Continue or stop audit]] = "Continue", TRUE, IF(BL226 = "Continue", TRUE, FALSE))</f>
        <v>1</v>
      </c>
      <c r="BN227" s="113"/>
    </row>
    <row r="228" spans="1:66" ht="15" hidden="1" customHeight="1" x14ac:dyDescent="0.35">
      <c r="A228" s="114" t="str">
        <f>'Sampling Data'!AI228</f>
        <v/>
      </c>
      <c r="B228" s="114" t="str">
        <f>'Sampling Data'!A228</f>
        <v>0405 CIN 4-E   (ED)</v>
      </c>
      <c r="C228" s="114">
        <f>'Sampling Data'!B228</f>
        <v>96</v>
      </c>
      <c r="D228" s="114">
        <f>'Sampling Data'!C228</f>
        <v>25</v>
      </c>
      <c r="E228" s="115">
        <f>'Sampling Data'!D228</f>
        <v>9</v>
      </c>
      <c r="F228" s="115">
        <f>'Sampling Data'!E228</f>
        <v>0</v>
      </c>
      <c r="G228" s="115">
        <f>'Sampling Data'!F228</f>
        <v>0</v>
      </c>
      <c r="H228" s="115">
        <f>'Sampling Data'!G228</f>
        <v>0</v>
      </c>
      <c r="I228" s="115">
        <f>'Sampling Data'!H228</f>
        <v>0</v>
      </c>
      <c r="J228" s="115">
        <f>'Sampling Data'!I228</f>
        <v>0</v>
      </c>
      <c r="K228" s="115">
        <f>'Sampling Data'!J228</f>
        <v>0</v>
      </c>
      <c r="L228" s="115">
        <f>'Sampling Data'!K228</f>
        <v>0</v>
      </c>
      <c r="M228" s="115">
        <f>'Sampling Data'!L228</f>
        <v>0</v>
      </c>
      <c r="N228" s="115">
        <f>'Sampling Data'!M228</f>
        <v>0</v>
      </c>
      <c r="O228" s="114">
        <f>'Sampling Data'!N228</f>
        <v>0</v>
      </c>
      <c r="P228" s="114">
        <f>'Sampling Data'!O228</f>
        <v>1</v>
      </c>
      <c r="Q228" s="114">
        <f>'Sampling Data'!P228</f>
        <v>131</v>
      </c>
      <c r="R228" s="114">
        <f>'Sampling Data'!AJ228</f>
        <v>0</v>
      </c>
      <c r="S228" s="116"/>
      <c r="T228" s="116"/>
      <c r="U228" s="117"/>
      <c r="V228" s="117"/>
      <c r="W228" s="116"/>
      <c r="X228" s="116"/>
      <c r="Y228" s="116"/>
      <c r="Z228" s="116"/>
      <c r="AA228" s="15"/>
      <c r="AB228" s="15"/>
      <c r="AC228" s="15"/>
      <c r="AD228" s="15"/>
      <c r="AE228" s="118" t="str">
        <f>IF(NOT(ISBLANK(Audit[[#This Row],[Audit Winning Candidate]])), Audit[[#This Row],[Audit Winning Candidate]]-Audit[[#This Row],[Winning Candidate]], "")</f>
        <v/>
      </c>
      <c r="AF228" s="114" t="str">
        <f>IF(NOT(ISBLANK(Audit[[#This Row],[Audit Losing Candidate]])), Audit[[#This Row],[Audit Losing Candidate]]-Audit[[#This Row],[Losing Candidate]], "")</f>
        <v/>
      </c>
      <c r="AG228" s="114" t="str">
        <f>IF(NOT(ISBLANK(Audit[[#This Row],[Audit Candidate 3]])), Audit[[#This Row],[Audit Candidate 3]]-Audit[[#This Row],[Candidate 3]], "")</f>
        <v/>
      </c>
      <c r="AH228" s="114" t="str">
        <f>IF(NOT(ISBLANK(Audit[[#This Row],[Audit Candidate 4]])),Audit[[#This Row],[Audit Candidate 4]]-Audit[[#This Row],[Candidate 4]], "")</f>
        <v/>
      </c>
      <c r="AI228" s="114" t="str">
        <f>IF(NOT(ISBLANK(Audit[[#This Row],[Audit Candidate 5]])), Audit[[#This Row],[Audit Candidate 5]]-Audit[[#This Row],[Candidate 5]], "")</f>
        <v/>
      </c>
      <c r="AJ228" s="114" t="str">
        <f>IF(NOT(ISBLANK(Audit[[#This Row],[Audit Candidate 6]])), Audit[[#This Row],[Audit Candidate 6]]-Audit[[#This Row],[Candidate 6]], "")</f>
        <v/>
      </c>
      <c r="AK228" s="114" t="str">
        <f>IF(NOT(ISBLANK(Audit[[#This Row],[Audit Candidate 7]])), Audit[[#This Row],[Audit Candidate 7]]-Audit[[#This Row],[Candidate 7]], "")</f>
        <v/>
      </c>
      <c r="AL228" s="114" t="str">
        <f>IF(NOT(ISBLANK(Audit[[#This Row],[Audit Candidate 8]])), Audit[[#This Row],[Audit Candidate 8]]-Audit[[#This Row],[Candidate 8]], "")</f>
        <v/>
      </c>
      <c r="AM228" s="114" t="str">
        <f>IF(NOT(ISBLANK(Audit[[#This Row],[Audit Candidate 9]])), Audit[[#This Row],[Audit Candidate 9]]-Audit[[#This Row],[Candidate 9]], "")</f>
        <v/>
      </c>
      <c r="AN228" s="114" t="str">
        <f>IF(NOT(ISBLANK(Audit[[#This Row],[Audit Candidate 10]])), Audit[[#This Row],[Audit Candidate 10]]-Audit[[#This Row],[Candidate 10]], "")</f>
        <v/>
      </c>
      <c r="AO228" s="114" t="str">
        <f>IF(NOT(ISBLANK(Audit[[#This Row],[Audit Candidate 11]])), Audit[[#This Row],[Audit Candidate 11]]-Audit[[#This Row],[Candidate 11]], "")</f>
        <v/>
      </c>
      <c r="AP228" s="114" t="str">
        <f>IF(NOT(ISBLANK(Audit[[#This Row],[Audit Candidate 12]])), Audit[[#This Row],[Audit Candidate 12]]-Audit[[#This Row],[Candidate 12]], "")</f>
        <v/>
      </c>
      <c r="AQ228" s="114">
        <f>SUMIF(Audit[[#This Row],[Difference Winner]:[Difference Candidate 12]], "&gt;0")</f>
        <v>0</v>
      </c>
      <c r="AR228" s="114">
        <f>SUM(Audit[[#This Row],[Difference Winner]:[Difference Candidate 12]])</f>
        <v>0</v>
      </c>
      <c r="AS228" s="114">
        <f>IF(Audit[[#This Row],[Times p Drawn - With Replacement]]&gt;0, IF(Audit[[#This Row],[Canceled Differences]]&lt;0, Audit[[#This Row],[Max Differences]]+ABS(Audit[[#This Row],[Canceled Differences]]), Audit[[#This Row],[Max Differences]]), 0)</f>
        <v>0</v>
      </c>
      <c r="AT228" s="114">
        <f>'Sampling Data'!AB228</f>
        <v>1.2767840212375956E-2</v>
      </c>
      <c r="AU228" s="114">
        <f>IF(
      SUM(Audit[[#This Row],[Audit Losing Candidate]:[Audit Candidate 12]])
      &lt;&gt;0,
      (Audit[[#This Row],[Winning Candidate]]-Audit[[#This Row],[Losing Candidate]]-(Audit[[#This Row],[Audit Winning Candidate]]-Audit[[#This Row],[Audit Losing Candidate]]))/(Audit[[#Totals],[Winning Candidate]]-Audit[[#Totals],[Losing Candidate]]),
      0
)</f>
        <v>0</v>
      </c>
      <c r="AV2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8" s="114">
        <f>IF(Audit[[#This Row],[Max Relative Error (ep)]] = 0, 0, Audit[[#This Row],[Max Relative Error (ep)]]/Audit[[#This Row],[Error Bound (up) - Max. possible relative overstatement]])</f>
        <v>0</v>
      </c>
      <c r="BH2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8" s="114">
        <f t="shared" si="4"/>
        <v>1</v>
      </c>
      <c r="BJ228" s="114">
        <f>PRODUCT($BI$5:BI228)</f>
        <v>0.20973752198051165</v>
      </c>
      <c r="BK228" s="112">
        <f>1 - Audit[[#This Row],[K-M P Value]]</f>
        <v>0.79026247801948835</v>
      </c>
      <c r="BL228" s="114" t="str">
        <f>IF(Audit[[#This Row],[K-M P Value]]&gt;1-'General Info'!$B$12,"Continue", "Stop")</f>
        <v>Continue</v>
      </c>
      <c r="BM228" s="113" t="b">
        <f>IF(Audit[[#This Row],[Status - Continue or stop audit]] = "Continue", TRUE, IF(BL227 = "Continue", TRUE, FALSE))</f>
        <v>1</v>
      </c>
      <c r="BN228" s="113"/>
    </row>
    <row r="229" spans="1:66" ht="15" hidden="1" customHeight="1" x14ac:dyDescent="0.35">
      <c r="A229" s="114" t="str">
        <f>'Sampling Data'!AI229</f>
        <v/>
      </c>
      <c r="B229" s="114" t="str">
        <f>'Sampling Data'!A229</f>
        <v>0406 CIN 4-F   (ED)</v>
      </c>
      <c r="C229" s="114">
        <f>'Sampling Data'!B229</f>
        <v>88</v>
      </c>
      <c r="D229" s="114">
        <f>'Sampling Data'!C229</f>
        <v>27</v>
      </c>
      <c r="E229" s="115">
        <f>'Sampling Data'!D229</f>
        <v>11</v>
      </c>
      <c r="F229" s="115">
        <f>'Sampling Data'!E229</f>
        <v>0</v>
      </c>
      <c r="G229" s="115">
        <f>'Sampling Data'!F229</f>
        <v>0</v>
      </c>
      <c r="H229" s="115">
        <f>'Sampling Data'!G229</f>
        <v>0</v>
      </c>
      <c r="I229" s="115">
        <f>'Sampling Data'!H229</f>
        <v>0</v>
      </c>
      <c r="J229" s="115">
        <f>'Sampling Data'!I229</f>
        <v>0</v>
      </c>
      <c r="K229" s="115">
        <f>'Sampling Data'!J229</f>
        <v>0</v>
      </c>
      <c r="L229" s="115">
        <f>'Sampling Data'!K229</f>
        <v>0</v>
      </c>
      <c r="M229" s="115">
        <f>'Sampling Data'!L229</f>
        <v>0</v>
      </c>
      <c r="N229" s="115">
        <f>'Sampling Data'!M229</f>
        <v>0</v>
      </c>
      <c r="O229" s="114">
        <f>'Sampling Data'!N229</f>
        <v>1</v>
      </c>
      <c r="P229" s="114">
        <f>'Sampling Data'!O229</f>
        <v>4</v>
      </c>
      <c r="Q229" s="114">
        <f>'Sampling Data'!P229</f>
        <v>131</v>
      </c>
      <c r="R229" s="114">
        <f>'Sampling Data'!AJ229</f>
        <v>0</v>
      </c>
      <c r="S229" s="116"/>
      <c r="T229" s="116"/>
      <c r="U229" s="117"/>
      <c r="V229" s="117"/>
      <c r="W229" s="116"/>
      <c r="X229" s="116"/>
      <c r="Y229" s="116"/>
      <c r="Z229" s="116"/>
      <c r="AA229" s="15"/>
      <c r="AB229" s="15"/>
      <c r="AC229" s="15"/>
      <c r="AD229" s="15"/>
      <c r="AE229" s="118" t="str">
        <f>IF(NOT(ISBLANK(Audit[[#This Row],[Audit Winning Candidate]])), Audit[[#This Row],[Audit Winning Candidate]]-Audit[[#This Row],[Winning Candidate]], "")</f>
        <v/>
      </c>
      <c r="AF229" s="114" t="str">
        <f>IF(NOT(ISBLANK(Audit[[#This Row],[Audit Losing Candidate]])), Audit[[#This Row],[Audit Losing Candidate]]-Audit[[#This Row],[Losing Candidate]], "")</f>
        <v/>
      </c>
      <c r="AG229" s="114" t="str">
        <f>IF(NOT(ISBLANK(Audit[[#This Row],[Audit Candidate 3]])), Audit[[#This Row],[Audit Candidate 3]]-Audit[[#This Row],[Candidate 3]], "")</f>
        <v/>
      </c>
      <c r="AH229" s="114" t="str">
        <f>IF(NOT(ISBLANK(Audit[[#This Row],[Audit Candidate 4]])),Audit[[#This Row],[Audit Candidate 4]]-Audit[[#This Row],[Candidate 4]], "")</f>
        <v/>
      </c>
      <c r="AI229" s="114" t="str">
        <f>IF(NOT(ISBLANK(Audit[[#This Row],[Audit Candidate 5]])), Audit[[#This Row],[Audit Candidate 5]]-Audit[[#This Row],[Candidate 5]], "")</f>
        <v/>
      </c>
      <c r="AJ229" s="114" t="str">
        <f>IF(NOT(ISBLANK(Audit[[#This Row],[Audit Candidate 6]])), Audit[[#This Row],[Audit Candidate 6]]-Audit[[#This Row],[Candidate 6]], "")</f>
        <v/>
      </c>
      <c r="AK229" s="114" t="str">
        <f>IF(NOT(ISBLANK(Audit[[#This Row],[Audit Candidate 7]])), Audit[[#This Row],[Audit Candidate 7]]-Audit[[#This Row],[Candidate 7]], "")</f>
        <v/>
      </c>
      <c r="AL229" s="114" t="str">
        <f>IF(NOT(ISBLANK(Audit[[#This Row],[Audit Candidate 8]])), Audit[[#This Row],[Audit Candidate 8]]-Audit[[#This Row],[Candidate 8]], "")</f>
        <v/>
      </c>
      <c r="AM229" s="114" t="str">
        <f>IF(NOT(ISBLANK(Audit[[#This Row],[Audit Candidate 9]])), Audit[[#This Row],[Audit Candidate 9]]-Audit[[#This Row],[Candidate 9]], "")</f>
        <v/>
      </c>
      <c r="AN229" s="114" t="str">
        <f>IF(NOT(ISBLANK(Audit[[#This Row],[Audit Candidate 10]])), Audit[[#This Row],[Audit Candidate 10]]-Audit[[#This Row],[Candidate 10]], "")</f>
        <v/>
      </c>
      <c r="AO229" s="114" t="str">
        <f>IF(NOT(ISBLANK(Audit[[#This Row],[Audit Candidate 11]])), Audit[[#This Row],[Audit Candidate 11]]-Audit[[#This Row],[Candidate 11]], "")</f>
        <v/>
      </c>
      <c r="AP229" s="114" t="str">
        <f>IF(NOT(ISBLANK(Audit[[#This Row],[Audit Candidate 12]])), Audit[[#This Row],[Audit Candidate 12]]-Audit[[#This Row],[Candidate 12]], "")</f>
        <v/>
      </c>
      <c r="AQ229" s="114">
        <f>SUMIF(Audit[[#This Row],[Difference Winner]:[Difference Candidate 12]], "&gt;0")</f>
        <v>0</v>
      </c>
      <c r="AR229" s="114">
        <f>SUM(Audit[[#This Row],[Difference Winner]:[Difference Candidate 12]])</f>
        <v>0</v>
      </c>
      <c r="AS229" s="114">
        <f>IF(Audit[[#This Row],[Times p Drawn - With Replacement]]&gt;0, IF(Audit[[#This Row],[Canceled Differences]]&lt;0, Audit[[#This Row],[Max Differences]]+ABS(Audit[[#This Row],[Canceled Differences]]), Audit[[#This Row],[Max Differences]]), 0)</f>
        <v>0</v>
      </c>
      <c r="AT229" s="114">
        <f>'Sampling Data'!AB229</f>
        <v>1.2135768914733582E-2</v>
      </c>
      <c r="AU229" s="114">
        <f>IF(
      SUM(Audit[[#This Row],[Audit Losing Candidate]:[Audit Candidate 12]])
      &lt;&gt;0,
      (Audit[[#This Row],[Winning Candidate]]-Audit[[#This Row],[Losing Candidate]]-(Audit[[#This Row],[Audit Winning Candidate]]-Audit[[#This Row],[Audit Losing Candidate]]))/(Audit[[#Totals],[Winning Candidate]]-Audit[[#Totals],[Losing Candidate]]),
      0
)</f>
        <v>0</v>
      </c>
      <c r="AV2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9" s="114">
        <f>IF(Audit[[#This Row],[Max Relative Error (ep)]] = 0, 0, Audit[[#This Row],[Max Relative Error (ep)]]/Audit[[#This Row],[Error Bound (up) - Max. possible relative overstatement]])</f>
        <v>0</v>
      </c>
      <c r="BH2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29" s="114">
        <f t="shared" si="4"/>
        <v>1</v>
      </c>
      <c r="BJ229" s="114">
        <f>PRODUCT($BI$5:BI229)</f>
        <v>0.20973752198051165</v>
      </c>
      <c r="BK229" s="112">
        <f>1 - Audit[[#This Row],[K-M P Value]]</f>
        <v>0.79026247801948835</v>
      </c>
      <c r="BL229" s="114" t="str">
        <f>IF(Audit[[#This Row],[K-M P Value]]&gt;1-'General Info'!$B$12,"Continue", "Stop")</f>
        <v>Continue</v>
      </c>
      <c r="BM229" s="113" t="b">
        <f>IF(Audit[[#This Row],[Status - Continue or stop audit]] = "Continue", TRUE, IF(BL228 = "Continue", TRUE, FALSE))</f>
        <v>1</v>
      </c>
      <c r="BN229" s="113"/>
    </row>
    <row r="230" spans="1:66" ht="15" hidden="1" customHeight="1" x14ac:dyDescent="0.35">
      <c r="A230" s="114" t="str">
        <f>'Sampling Data'!AI230</f>
        <v/>
      </c>
      <c r="B230" s="114" t="str">
        <f>'Sampling Data'!A230</f>
        <v>0407 CIN 4-G   (ED)</v>
      </c>
      <c r="C230" s="114">
        <f>'Sampling Data'!B230</f>
        <v>95</v>
      </c>
      <c r="D230" s="114">
        <f>'Sampling Data'!C230</f>
        <v>44</v>
      </c>
      <c r="E230" s="115">
        <f>'Sampling Data'!D230</f>
        <v>14</v>
      </c>
      <c r="F230" s="115">
        <f>'Sampling Data'!E230</f>
        <v>0</v>
      </c>
      <c r="G230" s="115">
        <f>'Sampling Data'!F230</f>
        <v>0</v>
      </c>
      <c r="H230" s="115">
        <f>'Sampling Data'!G230</f>
        <v>0</v>
      </c>
      <c r="I230" s="115">
        <f>'Sampling Data'!H230</f>
        <v>0</v>
      </c>
      <c r="J230" s="115">
        <f>'Sampling Data'!I230</f>
        <v>0</v>
      </c>
      <c r="K230" s="115">
        <f>'Sampling Data'!J230</f>
        <v>0</v>
      </c>
      <c r="L230" s="115">
        <f>'Sampling Data'!K230</f>
        <v>0</v>
      </c>
      <c r="M230" s="115">
        <f>'Sampling Data'!L230</f>
        <v>0</v>
      </c>
      <c r="N230" s="115">
        <f>'Sampling Data'!M230</f>
        <v>0</v>
      </c>
      <c r="O230" s="114">
        <f>'Sampling Data'!N230</f>
        <v>0</v>
      </c>
      <c r="P230" s="114">
        <f>'Sampling Data'!O230</f>
        <v>3</v>
      </c>
      <c r="Q230" s="114">
        <f>'Sampling Data'!P230</f>
        <v>156</v>
      </c>
      <c r="R230" s="114">
        <f>'Sampling Data'!AJ230</f>
        <v>0</v>
      </c>
      <c r="S230" s="116"/>
      <c r="T230" s="116"/>
      <c r="U230" s="117"/>
      <c r="V230" s="117"/>
      <c r="W230" s="116"/>
      <c r="X230" s="116"/>
      <c r="Y230" s="116"/>
      <c r="Z230" s="116"/>
      <c r="AA230" s="15"/>
      <c r="AB230" s="15"/>
      <c r="AC230" s="15"/>
      <c r="AD230" s="15"/>
      <c r="AE230" s="118" t="str">
        <f>IF(NOT(ISBLANK(Audit[[#This Row],[Audit Winning Candidate]])), Audit[[#This Row],[Audit Winning Candidate]]-Audit[[#This Row],[Winning Candidate]], "")</f>
        <v/>
      </c>
      <c r="AF230" s="114" t="str">
        <f>IF(NOT(ISBLANK(Audit[[#This Row],[Audit Losing Candidate]])), Audit[[#This Row],[Audit Losing Candidate]]-Audit[[#This Row],[Losing Candidate]], "")</f>
        <v/>
      </c>
      <c r="AG230" s="114" t="str">
        <f>IF(NOT(ISBLANK(Audit[[#This Row],[Audit Candidate 3]])), Audit[[#This Row],[Audit Candidate 3]]-Audit[[#This Row],[Candidate 3]], "")</f>
        <v/>
      </c>
      <c r="AH230" s="114" t="str">
        <f>IF(NOT(ISBLANK(Audit[[#This Row],[Audit Candidate 4]])),Audit[[#This Row],[Audit Candidate 4]]-Audit[[#This Row],[Candidate 4]], "")</f>
        <v/>
      </c>
      <c r="AI230" s="114" t="str">
        <f>IF(NOT(ISBLANK(Audit[[#This Row],[Audit Candidate 5]])), Audit[[#This Row],[Audit Candidate 5]]-Audit[[#This Row],[Candidate 5]], "")</f>
        <v/>
      </c>
      <c r="AJ230" s="114" t="str">
        <f>IF(NOT(ISBLANK(Audit[[#This Row],[Audit Candidate 6]])), Audit[[#This Row],[Audit Candidate 6]]-Audit[[#This Row],[Candidate 6]], "")</f>
        <v/>
      </c>
      <c r="AK230" s="114" t="str">
        <f>IF(NOT(ISBLANK(Audit[[#This Row],[Audit Candidate 7]])), Audit[[#This Row],[Audit Candidate 7]]-Audit[[#This Row],[Candidate 7]], "")</f>
        <v/>
      </c>
      <c r="AL230" s="114" t="str">
        <f>IF(NOT(ISBLANK(Audit[[#This Row],[Audit Candidate 8]])), Audit[[#This Row],[Audit Candidate 8]]-Audit[[#This Row],[Candidate 8]], "")</f>
        <v/>
      </c>
      <c r="AM230" s="114" t="str">
        <f>IF(NOT(ISBLANK(Audit[[#This Row],[Audit Candidate 9]])), Audit[[#This Row],[Audit Candidate 9]]-Audit[[#This Row],[Candidate 9]], "")</f>
        <v/>
      </c>
      <c r="AN230" s="114" t="str">
        <f>IF(NOT(ISBLANK(Audit[[#This Row],[Audit Candidate 10]])), Audit[[#This Row],[Audit Candidate 10]]-Audit[[#This Row],[Candidate 10]], "")</f>
        <v/>
      </c>
      <c r="AO230" s="114" t="str">
        <f>IF(NOT(ISBLANK(Audit[[#This Row],[Audit Candidate 11]])), Audit[[#This Row],[Audit Candidate 11]]-Audit[[#This Row],[Candidate 11]], "")</f>
        <v/>
      </c>
      <c r="AP230" s="114" t="str">
        <f>IF(NOT(ISBLANK(Audit[[#This Row],[Audit Candidate 12]])), Audit[[#This Row],[Audit Candidate 12]]-Audit[[#This Row],[Candidate 12]], "")</f>
        <v/>
      </c>
      <c r="AQ230" s="114">
        <f>SUMIF(Audit[[#This Row],[Difference Winner]:[Difference Candidate 12]], "&gt;0")</f>
        <v>0</v>
      </c>
      <c r="AR230" s="114">
        <f>SUM(Audit[[#This Row],[Difference Winner]:[Difference Candidate 12]])</f>
        <v>0</v>
      </c>
      <c r="AS230" s="114">
        <f>IF(Audit[[#This Row],[Times p Drawn - With Replacement]]&gt;0, IF(Audit[[#This Row],[Canceled Differences]]&lt;0, Audit[[#This Row],[Max Differences]]+ABS(Audit[[#This Row],[Canceled Differences]]), Audit[[#This Row],[Max Differences]]), 0)</f>
        <v>0</v>
      </c>
      <c r="AT230" s="114">
        <f>'Sampling Data'!AB230</f>
        <v>1.3377737638293068E-2</v>
      </c>
      <c r="AU230" s="114">
        <f>IF(
      SUM(Audit[[#This Row],[Audit Losing Candidate]:[Audit Candidate 12]])
      &lt;&gt;0,
      (Audit[[#This Row],[Winning Candidate]]-Audit[[#This Row],[Losing Candidate]]-(Audit[[#This Row],[Audit Winning Candidate]]-Audit[[#This Row],[Audit Losing Candidate]]))/(Audit[[#Totals],[Winning Candidate]]-Audit[[#Totals],[Losing Candidate]]),
      0
)</f>
        <v>0</v>
      </c>
      <c r="AV2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0" s="114">
        <f>IF(Audit[[#This Row],[Max Relative Error (ep)]] = 0, 0, Audit[[#This Row],[Max Relative Error (ep)]]/Audit[[#This Row],[Error Bound (up) - Max. possible relative overstatement]])</f>
        <v>0</v>
      </c>
      <c r="BH2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0" s="114">
        <f t="shared" si="4"/>
        <v>1</v>
      </c>
      <c r="BJ230" s="114">
        <f>PRODUCT($BI$5:BI230)</f>
        <v>0.20973752198051165</v>
      </c>
      <c r="BK230" s="112">
        <f>1 - Audit[[#This Row],[K-M P Value]]</f>
        <v>0.79026247801948835</v>
      </c>
      <c r="BL230" s="114" t="str">
        <f>IF(Audit[[#This Row],[K-M P Value]]&gt;1-'General Info'!$B$12,"Continue", "Stop")</f>
        <v>Continue</v>
      </c>
      <c r="BM230" s="113" t="b">
        <f>IF(Audit[[#This Row],[Status - Continue or stop audit]] = "Continue", TRUE, IF(BL229 = "Continue", TRUE, FALSE))</f>
        <v>1</v>
      </c>
      <c r="BN230" s="113"/>
    </row>
    <row r="231" spans="1:66" ht="15" hidden="1" customHeight="1" x14ac:dyDescent="0.35">
      <c r="A231" s="114" t="str">
        <f>'Sampling Data'!AI231</f>
        <v/>
      </c>
      <c r="B231" s="114" t="str">
        <f>'Sampling Data'!A231</f>
        <v>0408 CIN 4-H   (ED)</v>
      </c>
      <c r="C231" s="114">
        <f>'Sampling Data'!B231</f>
        <v>119</v>
      </c>
      <c r="D231" s="114">
        <f>'Sampling Data'!C231</f>
        <v>27</v>
      </c>
      <c r="E231" s="115">
        <f>'Sampling Data'!D231</f>
        <v>5</v>
      </c>
      <c r="F231" s="115">
        <f>'Sampling Data'!E231</f>
        <v>0</v>
      </c>
      <c r="G231" s="115">
        <f>'Sampling Data'!F231</f>
        <v>0</v>
      </c>
      <c r="H231" s="115">
        <f>'Sampling Data'!G231</f>
        <v>0</v>
      </c>
      <c r="I231" s="115">
        <f>'Sampling Data'!H231</f>
        <v>0</v>
      </c>
      <c r="J231" s="115">
        <f>'Sampling Data'!I231</f>
        <v>0</v>
      </c>
      <c r="K231" s="115">
        <f>'Sampling Data'!J231</f>
        <v>0</v>
      </c>
      <c r="L231" s="115">
        <f>'Sampling Data'!K231</f>
        <v>0</v>
      </c>
      <c r="M231" s="115">
        <f>'Sampling Data'!L231</f>
        <v>0</v>
      </c>
      <c r="N231" s="115">
        <f>'Sampling Data'!M231</f>
        <v>0</v>
      </c>
      <c r="O231" s="114">
        <f>'Sampling Data'!N231</f>
        <v>0</v>
      </c>
      <c r="P231" s="114">
        <f>'Sampling Data'!O231</f>
        <v>3</v>
      </c>
      <c r="Q231" s="114">
        <f>'Sampling Data'!P231</f>
        <v>154</v>
      </c>
      <c r="R231" s="114">
        <f>'Sampling Data'!AJ231</f>
        <v>0</v>
      </c>
      <c r="S231" s="116"/>
      <c r="T231" s="116"/>
      <c r="U231" s="117"/>
      <c r="V231" s="117"/>
      <c r="W231" s="116"/>
      <c r="X231" s="116"/>
      <c r="Y231" s="116"/>
      <c r="Z231" s="116"/>
      <c r="AA231" s="15"/>
      <c r="AB231" s="15"/>
      <c r="AC231" s="15"/>
      <c r="AD231" s="15"/>
      <c r="AE231" s="118" t="str">
        <f>IF(NOT(ISBLANK(Audit[[#This Row],[Audit Winning Candidate]])), Audit[[#This Row],[Audit Winning Candidate]]-Audit[[#This Row],[Winning Candidate]], "")</f>
        <v/>
      </c>
      <c r="AF231" s="114" t="str">
        <f>IF(NOT(ISBLANK(Audit[[#This Row],[Audit Losing Candidate]])), Audit[[#This Row],[Audit Losing Candidate]]-Audit[[#This Row],[Losing Candidate]], "")</f>
        <v/>
      </c>
      <c r="AG231" s="114" t="str">
        <f>IF(NOT(ISBLANK(Audit[[#This Row],[Audit Candidate 3]])), Audit[[#This Row],[Audit Candidate 3]]-Audit[[#This Row],[Candidate 3]], "")</f>
        <v/>
      </c>
      <c r="AH231" s="114" t="str">
        <f>IF(NOT(ISBLANK(Audit[[#This Row],[Audit Candidate 4]])),Audit[[#This Row],[Audit Candidate 4]]-Audit[[#This Row],[Candidate 4]], "")</f>
        <v/>
      </c>
      <c r="AI231" s="114" t="str">
        <f>IF(NOT(ISBLANK(Audit[[#This Row],[Audit Candidate 5]])), Audit[[#This Row],[Audit Candidate 5]]-Audit[[#This Row],[Candidate 5]], "")</f>
        <v/>
      </c>
      <c r="AJ231" s="114" t="str">
        <f>IF(NOT(ISBLANK(Audit[[#This Row],[Audit Candidate 6]])), Audit[[#This Row],[Audit Candidate 6]]-Audit[[#This Row],[Candidate 6]], "")</f>
        <v/>
      </c>
      <c r="AK231" s="114" t="str">
        <f>IF(NOT(ISBLANK(Audit[[#This Row],[Audit Candidate 7]])), Audit[[#This Row],[Audit Candidate 7]]-Audit[[#This Row],[Candidate 7]], "")</f>
        <v/>
      </c>
      <c r="AL231" s="114" t="str">
        <f>IF(NOT(ISBLANK(Audit[[#This Row],[Audit Candidate 8]])), Audit[[#This Row],[Audit Candidate 8]]-Audit[[#This Row],[Candidate 8]], "")</f>
        <v/>
      </c>
      <c r="AM231" s="114" t="str">
        <f>IF(NOT(ISBLANK(Audit[[#This Row],[Audit Candidate 9]])), Audit[[#This Row],[Audit Candidate 9]]-Audit[[#This Row],[Candidate 9]], "")</f>
        <v/>
      </c>
      <c r="AN231" s="114" t="str">
        <f>IF(NOT(ISBLANK(Audit[[#This Row],[Audit Candidate 10]])), Audit[[#This Row],[Audit Candidate 10]]-Audit[[#This Row],[Candidate 10]], "")</f>
        <v/>
      </c>
      <c r="AO231" s="114" t="str">
        <f>IF(NOT(ISBLANK(Audit[[#This Row],[Audit Candidate 11]])), Audit[[#This Row],[Audit Candidate 11]]-Audit[[#This Row],[Candidate 11]], "")</f>
        <v/>
      </c>
      <c r="AP231" s="114" t="str">
        <f>IF(NOT(ISBLANK(Audit[[#This Row],[Audit Candidate 12]])), Audit[[#This Row],[Audit Candidate 12]]-Audit[[#This Row],[Candidate 12]], "")</f>
        <v/>
      </c>
      <c r="AQ231" s="114">
        <f>SUMIF(Audit[[#This Row],[Difference Winner]:[Difference Candidate 12]], "&gt;0")</f>
        <v>0</v>
      </c>
      <c r="AR231" s="114">
        <f>SUM(Audit[[#This Row],[Difference Winner]:[Difference Candidate 12]])</f>
        <v>0</v>
      </c>
      <c r="AS231" s="114">
        <f>IF(Audit[[#This Row],[Times p Drawn - With Replacement]]&gt;0, IF(Audit[[#This Row],[Canceled Differences]]&lt;0, Audit[[#This Row],[Max Differences]]+ABS(Audit[[#This Row],[Canceled Differences]]), Audit[[#This Row],[Max Differences]]), 0)</f>
        <v>0</v>
      </c>
      <c r="AT231" s="114">
        <f>'Sampling Data'!AB231</f>
        <v>1.5548953922002402E-2</v>
      </c>
      <c r="AU231" s="114">
        <f>IF(
      SUM(Audit[[#This Row],[Audit Losing Candidate]:[Audit Candidate 12]])
      &lt;&gt;0,
      (Audit[[#This Row],[Winning Candidate]]-Audit[[#This Row],[Losing Candidate]]-(Audit[[#This Row],[Audit Winning Candidate]]-Audit[[#This Row],[Audit Losing Candidate]]))/(Audit[[#Totals],[Winning Candidate]]-Audit[[#Totals],[Losing Candidate]]),
      0
)</f>
        <v>0</v>
      </c>
      <c r="AV2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1" s="114">
        <f>IF(Audit[[#This Row],[Max Relative Error (ep)]] = 0, 0, Audit[[#This Row],[Max Relative Error (ep)]]/Audit[[#This Row],[Error Bound (up) - Max. possible relative overstatement]])</f>
        <v>0</v>
      </c>
      <c r="BH2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1" s="114">
        <f t="shared" si="4"/>
        <v>1</v>
      </c>
      <c r="BJ231" s="114">
        <f>PRODUCT($BI$5:BI231)</f>
        <v>0.20973752198051165</v>
      </c>
      <c r="BK231" s="112">
        <f>1 - Audit[[#This Row],[K-M P Value]]</f>
        <v>0.79026247801948835</v>
      </c>
      <c r="BL231" s="114" t="str">
        <f>IF(Audit[[#This Row],[K-M P Value]]&gt;1-'General Info'!$B$12,"Continue", "Stop")</f>
        <v>Continue</v>
      </c>
      <c r="BM231" s="113" t="b">
        <f>IF(Audit[[#This Row],[Status - Continue or stop audit]] = "Continue", TRUE, IF(BL230 = "Continue", TRUE, FALSE))</f>
        <v>1</v>
      </c>
      <c r="BN231" s="113"/>
    </row>
    <row r="232" spans="1:66" ht="15" hidden="1" customHeight="1" x14ac:dyDescent="0.35">
      <c r="A232" s="114" t="str">
        <f>'Sampling Data'!AI232</f>
        <v/>
      </c>
      <c r="B232" s="114" t="str">
        <f>'Sampling Data'!A232</f>
        <v>0501 CIN 5-A   (ED)</v>
      </c>
      <c r="C232" s="114">
        <f>'Sampling Data'!B232</f>
        <v>85</v>
      </c>
      <c r="D232" s="114">
        <f>'Sampling Data'!C232</f>
        <v>40</v>
      </c>
      <c r="E232" s="115">
        <f>'Sampling Data'!D232</f>
        <v>19</v>
      </c>
      <c r="F232" s="115">
        <f>'Sampling Data'!E232</f>
        <v>0</v>
      </c>
      <c r="G232" s="115">
        <f>'Sampling Data'!F232</f>
        <v>0</v>
      </c>
      <c r="H232" s="115">
        <f>'Sampling Data'!G232</f>
        <v>0</v>
      </c>
      <c r="I232" s="115">
        <f>'Sampling Data'!H232</f>
        <v>0</v>
      </c>
      <c r="J232" s="115">
        <f>'Sampling Data'!I232</f>
        <v>0</v>
      </c>
      <c r="K232" s="115">
        <f>'Sampling Data'!J232</f>
        <v>0</v>
      </c>
      <c r="L232" s="115">
        <f>'Sampling Data'!K232</f>
        <v>0</v>
      </c>
      <c r="M232" s="115">
        <f>'Sampling Data'!L232</f>
        <v>0</v>
      </c>
      <c r="N232" s="115">
        <f>'Sampling Data'!M232</f>
        <v>0</v>
      </c>
      <c r="O232" s="114">
        <f>'Sampling Data'!N232</f>
        <v>0</v>
      </c>
      <c r="P232" s="114">
        <f>'Sampling Data'!O232</f>
        <v>5</v>
      </c>
      <c r="Q232" s="114">
        <f>'Sampling Data'!P232</f>
        <v>149</v>
      </c>
      <c r="R232" s="114">
        <f>'Sampling Data'!AJ232</f>
        <v>0</v>
      </c>
      <c r="S232" s="116"/>
      <c r="T232" s="116"/>
      <c r="U232" s="117"/>
      <c r="V232" s="117"/>
      <c r="W232" s="116"/>
      <c r="X232" s="116"/>
      <c r="Y232" s="116"/>
      <c r="Z232" s="116"/>
      <c r="AA232" s="15"/>
      <c r="AB232" s="15"/>
      <c r="AC232" s="15"/>
      <c r="AD232" s="15"/>
      <c r="AE232" s="118" t="str">
        <f>IF(NOT(ISBLANK(Audit[[#This Row],[Audit Winning Candidate]])), Audit[[#This Row],[Audit Winning Candidate]]-Audit[[#This Row],[Winning Candidate]], "")</f>
        <v/>
      </c>
      <c r="AF232" s="114" t="str">
        <f>IF(NOT(ISBLANK(Audit[[#This Row],[Audit Losing Candidate]])), Audit[[#This Row],[Audit Losing Candidate]]-Audit[[#This Row],[Losing Candidate]], "")</f>
        <v/>
      </c>
      <c r="AG232" s="114" t="str">
        <f>IF(NOT(ISBLANK(Audit[[#This Row],[Audit Candidate 3]])), Audit[[#This Row],[Audit Candidate 3]]-Audit[[#This Row],[Candidate 3]], "")</f>
        <v/>
      </c>
      <c r="AH232" s="114" t="str">
        <f>IF(NOT(ISBLANK(Audit[[#This Row],[Audit Candidate 4]])),Audit[[#This Row],[Audit Candidate 4]]-Audit[[#This Row],[Candidate 4]], "")</f>
        <v/>
      </c>
      <c r="AI232" s="114" t="str">
        <f>IF(NOT(ISBLANK(Audit[[#This Row],[Audit Candidate 5]])), Audit[[#This Row],[Audit Candidate 5]]-Audit[[#This Row],[Candidate 5]], "")</f>
        <v/>
      </c>
      <c r="AJ232" s="114" t="str">
        <f>IF(NOT(ISBLANK(Audit[[#This Row],[Audit Candidate 6]])), Audit[[#This Row],[Audit Candidate 6]]-Audit[[#This Row],[Candidate 6]], "")</f>
        <v/>
      </c>
      <c r="AK232" s="114" t="str">
        <f>IF(NOT(ISBLANK(Audit[[#This Row],[Audit Candidate 7]])), Audit[[#This Row],[Audit Candidate 7]]-Audit[[#This Row],[Candidate 7]], "")</f>
        <v/>
      </c>
      <c r="AL232" s="114" t="str">
        <f>IF(NOT(ISBLANK(Audit[[#This Row],[Audit Candidate 8]])), Audit[[#This Row],[Audit Candidate 8]]-Audit[[#This Row],[Candidate 8]], "")</f>
        <v/>
      </c>
      <c r="AM232" s="114" t="str">
        <f>IF(NOT(ISBLANK(Audit[[#This Row],[Audit Candidate 9]])), Audit[[#This Row],[Audit Candidate 9]]-Audit[[#This Row],[Candidate 9]], "")</f>
        <v/>
      </c>
      <c r="AN232" s="114" t="str">
        <f>IF(NOT(ISBLANK(Audit[[#This Row],[Audit Candidate 10]])), Audit[[#This Row],[Audit Candidate 10]]-Audit[[#This Row],[Candidate 10]], "")</f>
        <v/>
      </c>
      <c r="AO232" s="114" t="str">
        <f>IF(NOT(ISBLANK(Audit[[#This Row],[Audit Candidate 11]])), Audit[[#This Row],[Audit Candidate 11]]-Audit[[#This Row],[Candidate 11]], "")</f>
        <v/>
      </c>
      <c r="AP232" s="114" t="str">
        <f>IF(NOT(ISBLANK(Audit[[#This Row],[Audit Candidate 12]])), Audit[[#This Row],[Audit Candidate 12]]-Audit[[#This Row],[Candidate 12]], "")</f>
        <v/>
      </c>
      <c r="AQ232" s="114">
        <f>SUMIF(Audit[[#This Row],[Difference Winner]:[Difference Candidate 12]], "&gt;0")</f>
        <v>0</v>
      </c>
      <c r="AR232" s="114">
        <f>SUM(Audit[[#This Row],[Difference Winner]:[Difference Candidate 12]])</f>
        <v>0</v>
      </c>
      <c r="AS232" s="114">
        <f>IF(Audit[[#This Row],[Times p Drawn - With Replacement]]&gt;0, IF(Audit[[#This Row],[Canceled Differences]]&lt;0, Audit[[#This Row],[Max Differences]]+ABS(Audit[[#This Row],[Canceled Differences]]), Audit[[#This Row],[Max Differences]]), 0)</f>
        <v>0</v>
      </c>
      <c r="AT232" s="114">
        <f>'Sampling Data'!AB232</f>
        <v>1.2262183174262057E-2</v>
      </c>
      <c r="AU232" s="114">
        <f>IF(
      SUM(Audit[[#This Row],[Audit Losing Candidate]:[Audit Candidate 12]])
      &lt;&gt;0,
      (Audit[[#This Row],[Winning Candidate]]-Audit[[#This Row],[Losing Candidate]]-(Audit[[#This Row],[Audit Winning Candidate]]-Audit[[#This Row],[Audit Losing Candidate]]))/(Audit[[#Totals],[Winning Candidate]]-Audit[[#Totals],[Losing Candidate]]),
      0
)</f>
        <v>0</v>
      </c>
      <c r="AV2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2" s="114">
        <f>IF(Audit[[#This Row],[Max Relative Error (ep)]] = 0, 0, Audit[[#This Row],[Max Relative Error (ep)]]/Audit[[#This Row],[Error Bound (up) - Max. possible relative overstatement]])</f>
        <v>0</v>
      </c>
      <c r="BH2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2" s="114">
        <f t="shared" si="4"/>
        <v>1</v>
      </c>
      <c r="BJ232" s="114">
        <f>PRODUCT($BI$5:BI232)</f>
        <v>0.20973752198051165</v>
      </c>
      <c r="BK232" s="112">
        <f>1 - Audit[[#This Row],[K-M P Value]]</f>
        <v>0.79026247801948835</v>
      </c>
      <c r="BL232" s="114" t="str">
        <f>IF(Audit[[#This Row],[K-M P Value]]&gt;1-'General Info'!$B$12,"Continue", "Stop")</f>
        <v>Continue</v>
      </c>
      <c r="BM232" s="113" t="b">
        <f>IF(Audit[[#This Row],[Status - Continue or stop audit]] = "Continue", TRUE, IF(BL231 = "Continue", TRUE, FALSE))</f>
        <v>1</v>
      </c>
      <c r="BN232" s="113"/>
    </row>
    <row r="233" spans="1:66" ht="15" hidden="1" customHeight="1" x14ac:dyDescent="0.35">
      <c r="A233" s="114" t="str">
        <f>'Sampling Data'!AI233</f>
        <v/>
      </c>
      <c r="B233" s="114" t="str">
        <f>'Sampling Data'!A233</f>
        <v>0502 CIN 5-B   (ED)</v>
      </c>
      <c r="C233" s="114">
        <f>'Sampling Data'!B233</f>
        <v>131</v>
      </c>
      <c r="D233" s="114">
        <f>'Sampling Data'!C233</f>
        <v>34</v>
      </c>
      <c r="E233" s="115">
        <f>'Sampling Data'!D233</f>
        <v>15</v>
      </c>
      <c r="F233" s="115">
        <f>'Sampling Data'!E233</f>
        <v>0</v>
      </c>
      <c r="G233" s="115">
        <f>'Sampling Data'!F233</f>
        <v>0</v>
      </c>
      <c r="H233" s="115">
        <f>'Sampling Data'!G233</f>
        <v>0</v>
      </c>
      <c r="I233" s="115">
        <f>'Sampling Data'!H233</f>
        <v>0</v>
      </c>
      <c r="J233" s="115">
        <f>'Sampling Data'!I233</f>
        <v>0</v>
      </c>
      <c r="K233" s="115">
        <f>'Sampling Data'!J233</f>
        <v>0</v>
      </c>
      <c r="L233" s="115">
        <f>'Sampling Data'!K233</f>
        <v>0</v>
      </c>
      <c r="M233" s="115">
        <f>'Sampling Data'!L233</f>
        <v>0</v>
      </c>
      <c r="N233" s="115">
        <f>'Sampling Data'!M233</f>
        <v>0</v>
      </c>
      <c r="O233" s="114">
        <f>'Sampling Data'!N233</f>
        <v>0</v>
      </c>
      <c r="P233" s="114">
        <f>'Sampling Data'!O233</f>
        <v>3</v>
      </c>
      <c r="Q233" s="114">
        <f>'Sampling Data'!P233</f>
        <v>183</v>
      </c>
      <c r="R233" s="114">
        <f>'Sampling Data'!AJ233</f>
        <v>0</v>
      </c>
      <c r="S233" s="116"/>
      <c r="T233" s="116"/>
      <c r="U233" s="117"/>
      <c r="V233" s="117"/>
      <c r="W233" s="116"/>
      <c r="X233" s="116"/>
      <c r="Y233" s="116"/>
      <c r="Z233" s="116"/>
      <c r="AA233" s="15"/>
      <c r="AB233" s="15"/>
      <c r="AC233" s="15"/>
      <c r="AD233" s="15"/>
      <c r="AE233" s="118" t="str">
        <f>IF(NOT(ISBLANK(Audit[[#This Row],[Audit Winning Candidate]])), Audit[[#This Row],[Audit Winning Candidate]]-Audit[[#This Row],[Winning Candidate]], "")</f>
        <v/>
      </c>
      <c r="AF233" s="114" t="str">
        <f>IF(NOT(ISBLANK(Audit[[#This Row],[Audit Losing Candidate]])), Audit[[#This Row],[Audit Losing Candidate]]-Audit[[#This Row],[Losing Candidate]], "")</f>
        <v/>
      </c>
      <c r="AG233" s="114" t="str">
        <f>IF(NOT(ISBLANK(Audit[[#This Row],[Audit Candidate 3]])), Audit[[#This Row],[Audit Candidate 3]]-Audit[[#This Row],[Candidate 3]], "")</f>
        <v/>
      </c>
      <c r="AH233" s="114" t="str">
        <f>IF(NOT(ISBLANK(Audit[[#This Row],[Audit Candidate 4]])),Audit[[#This Row],[Audit Candidate 4]]-Audit[[#This Row],[Candidate 4]], "")</f>
        <v/>
      </c>
      <c r="AI233" s="114" t="str">
        <f>IF(NOT(ISBLANK(Audit[[#This Row],[Audit Candidate 5]])), Audit[[#This Row],[Audit Candidate 5]]-Audit[[#This Row],[Candidate 5]], "")</f>
        <v/>
      </c>
      <c r="AJ233" s="114" t="str">
        <f>IF(NOT(ISBLANK(Audit[[#This Row],[Audit Candidate 6]])), Audit[[#This Row],[Audit Candidate 6]]-Audit[[#This Row],[Candidate 6]], "")</f>
        <v/>
      </c>
      <c r="AK233" s="114" t="str">
        <f>IF(NOT(ISBLANK(Audit[[#This Row],[Audit Candidate 7]])), Audit[[#This Row],[Audit Candidate 7]]-Audit[[#This Row],[Candidate 7]], "")</f>
        <v/>
      </c>
      <c r="AL233" s="114" t="str">
        <f>IF(NOT(ISBLANK(Audit[[#This Row],[Audit Candidate 8]])), Audit[[#This Row],[Audit Candidate 8]]-Audit[[#This Row],[Candidate 8]], "")</f>
        <v/>
      </c>
      <c r="AM233" s="114" t="str">
        <f>IF(NOT(ISBLANK(Audit[[#This Row],[Audit Candidate 9]])), Audit[[#This Row],[Audit Candidate 9]]-Audit[[#This Row],[Candidate 9]], "")</f>
        <v/>
      </c>
      <c r="AN233" s="114" t="str">
        <f>IF(NOT(ISBLANK(Audit[[#This Row],[Audit Candidate 10]])), Audit[[#This Row],[Audit Candidate 10]]-Audit[[#This Row],[Candidate 10]], "")</f>
        <v/>
      </c>
      <c r="AO233" s="114" t="str">
        <f>IF(NOT(ISBLANK(Audit[[#This Row],[Audit Candidate 11]])), Audit[[#This Row],[Audit Candidate 11]]-Audit[[#This Row],[Candidate 11]], "")</f>
        <v/>
      </c>
      <c r="AP233" s="114" t="str">
        <f>IF(NOT(ISBLANK(Audit[[#This Row],[Audit Candidate 12]])), Audit[[#This Row],[Audit Candidate 12]]-Audit[[#This Row],[Candidate 12]], "")</f>
        <v/>
      </c>
      <c r="AQ233" s="114">
        <f>SUMIF(Audit[[#This Row],[Difference Winner]:[Difference Candidate 12]], "&gt;0")</f>
        <v>0</v>
      </c>
      <c r="AR233" s="114">
        <f>SUM(Audit[[#This Row],[Difference Winner]:[Difference Candidate 12]])</f>
        <v>0</v>
      </c>
      <c r="AS233" s="114">
        <f>IF(Audit[[#This Row],[Times p Drawn - With Replacement]]&gt;0, IF(Audit[[#This Row],[Canceled Differences]]&lt;0, Audit[[#This Row],[Max Differences]]+ABS(Audit[[#This Row],[Canceled Differences]]), Audit[[#This Row],[Max Differences]]), 0)</f>
        <v>0</v>
      </c>
      <c r="AT233" s="114">
        <f>'Sampling Data'!AB233</f>
        <v>1.7697996333986474E-2</v>
      </c>
      <c r="AU233" s="114">
        <f>IF(
      SUM(Audit[[#This Row],[Audit Losing Candidate]:[Audit Candidate 12]])
      &lt;&gt;0,
      (Audit[[#This Row],[Winning Candidate]]-Audit[[#This Row],[Losing Candidate]]-(Audit[[#This Row],[Audit Winning Candidate]]-Audit[[#This Row],[Audit Losing Candidate]]))/(Audit[[#Totals],[Winning Candidate]]-Audit[[#Totals],[Losing Candidate]]),
      0
)</f>
        <v>0</v>
      </c>
      <c r="AV2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3" s="114">
        <f>IF(Audit[[#This Row],[Max Relative Error (ep)]] = 0, 0, Audit[[#This Row],[Max Relative Error (ep)]]/Audit[[#This Row],[Error Bound (up) - Max. possible relative overstatement]])</f>
        <v>0</v>
      </c>
      <c r="BH2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3" s="114">
        <f t="shared" si="4"/>
        <v>1</v>
      </c>
      <c r="BJ233" s="114">
        <f>PRODUCT($BI$5:BI233)</f>
        <v>0.20973752198051165</v>
      </c>
      <c r="BK233" s="112">
        <f>1 - Audit[[#This Row],[K-M P Value]]</f>
        <v>0.79026247801948835</v>
      </c>
      <c r="BL233" s="114" t="str">
        <f>IF(Audit[[#This Row],[K-M P Value]]&gt;1-'General Info'!$B$12,"Continue", "Stop")</f>
        <v>Continue</v>
      </c>
      <c r="BM233" s="113" t="b">
        <f>IF(Audit[[#This Row],[Status - Continue or stop audit]] = "Continue", TRUE, IF(BL232 = "Continue", TRUE, FALSE))</f>
        <v>1</v>
      </c>
      <c r="BN233" s="113"/>
    </row>
    <row r="234" spans="1:66" ht="15" hidden="1" customHeight="1" x14ac:dyDescent="0.35">
      <c r="A234" s="114" t="str">
        <f>'Sampling Data'!AI234</f>
        <v/>
      </c>
      <c r="B234" s="114" t="str">
        <f>'Sampling Data'!A234</f>
        <v>0503 CIN 5-C   (ED)</v>
      </c>
      <c r="C234" s="114">
        <f>'Sampling Data'!B234</f>
        <v>108</v>
      </c>
      <c r="D234" s="114">
        <f>'Sampling Data'!C234</f>
        <v>20</v>
      </c>
      <c r="E234" s="115">
        <f>'Sampling Data'!D234</f>
        <v>5</v>
      </c>
      <c r="F234" s="115">
        <f>'Sampling Data'!E234</f>
        <v>0</v>
      </c>
      <c r="G234" s="115">
        <f>'Sampling Data'!F234</f>
        <v>0</v>
      </c>
      <c r="H234" s="115">
        <f>'Sampling Data'!G234</f>
        <v>0</v>
      </c>
      <c r="I234" s="115">
        <f>'Sampling Data'!H234</f>
        <v>0</v>
      </c>
      <c r="J234" s="115">
        <f>'Sampling Data'!I234</f>
        <v>0</v>
      </c>
      <c r="K234" s="115">
        <f>'Sampling Data'!J234</f>
        <v>0</v>
      </c>
      <c r="L234" s="115">
        <f>'Sampling Data'!K234</f>
        <v>0</v>
      </c>
      <c r="M234" s="115">
        <f>'Sampling Data'!L234</f>
        <v>0</v>
      </c>
      <c r="N234" s="115">
        <f>'Sampling Data'!M234</f>
        <v>0</v>
      </c>
      <c r="O234" s="114">
        <f>'Sampling Data'!N234</f>
        <v>0</v>
      </c>
      <c r="P234" s="114">
        <f>'Sampling Data'!O234</f>
        <v>2</v>
      </c>
      <c r="Q234" s="114">
        <f>'Sampling Data'!P234</f>
        <v>135</v>
      </c>
      <c r="R234" s="114">
        <f>'Sampling Data'!AJ234</f>
        <v>0</v>
      </c>
      <c r="S234" s="116"/>
      <c r="T234" s="116"/>
      <c r="U234" s="117"/>
      <c r="V234" s="117"/>
      <c r="W234" s="116"/>
      <c r="X234" s="116"/>
      <c r="Y234" s="116"/>
      <c r="Z234" s="116"/>
      <c r="AA234" s="15"/>
      <c r="AB234" s="15"/>
      <c r="AC234" s="15"/>
      <c r="AD234" s="15"/>
      <c r="AE234" s="118" t="str">
        <f>IF(NOT(ISBLANK(Audit[[#This Row],[Audit Winning Candidate]])), Audit[[#This Row],[Audit Winning Candidate]]-Audit[[#This Row],[Winning Candidate]], "")</f>
        <v/>
      </c>
      <c r="AF234" s="114" t="str">
        <f>IF(NOT(ISBLANK(Audit[[#This Row],[Audit Losing Candidate]])), Audit[[#This Row],[Audit Losing Candidate]]-Audit[[#This Row],[Losing Candidate]], "")</f>
        <v/>
      </c>
      <c r="AG234" s="114" t="str">
        <f>IF(NOT(ISBLANK(Audit[[#This Row],[Audit Candidate 3]])), Audit[[#This Row],[Audit Candidate 3]]-Audit[[#This Row],[Candidate 3]], "")</f>
        <v/>
      </c>
      <c r="AH234" s="114" t="str">
        <f>IF(NOT(ISBLANK(Audit[[#This Row],[Audit Candidate 4]])),Audit[[#This Row],[Audit Candidate 4]]-Audit[[#This Row],[Candidate 4]], "")</f>
        <v/>
      </c>
      <c r="AI234" s="114" t="str">
        <f>IF(NOT(ISBLANK(Audit[[#This Row],[Audit Candidate 5]])), Audit[[#This Row],[Audit Candidate 5]]-Audit[[#This Row],[Candidate 5]], "")</f>
        <v/>
      </c>
      <c r="AJ234" s="114" t="str">
        <f>IF(NOT(ISBLANK(Audit[[#This Row],[Audit Candidate 6]])), Audit[[#This Row],[Audit Candidate 6]]-Audit[[#This Row],[Candidate 6]], "")</f>
        <v/>
      </c>
      <c r="AK234" s="114" t="str">
        <f>IF(NOT(ISBLANK(Audit[[#This Row],[Audit Candidate 7]])), Audit[[#This Row],[Audit Candidate 7]]-Audit[[#This Row],[Candidate 7]], "")</f>
        <v/>
      </c>
      <c r="AL234" s="114" t="str">
        <f>IF(NOT(ISBLANK(Audit[[#This Row],[Audit Candidate 8]])), Audit[[#This Row],[Audit Candidate 8]]-Audit[[#This Row],[Candidate 8]], "")</f>
        <v/>
      </c>
      <c r="AM234" s="114" t="str">
        <f>IF(NOT(ISBLANK(Audit[[#This Row],[Audit Candidate 9]])), Audit[[#This Row],[Audit Candidate 9]]-Audit[[#This Row],[Candidate 9]], "")</f>
        <v/>
      </c>
      <c r="AN234" s="114" t="str">
        <f>IF(NOT(ISBLANK(Audit[[#This Row],[Audit Candidate 10]])), Audit[[#This Row],[Audit Candidate 10]]-Audit[[#This Row],[Candidate 10]], "")</f>
        <v/>
      </c>
      <c r="AO234" s="114" t="str">
        <f>IF(NOT(ISBLANK(Audit[[#This Row],[Audit Candidate 11]])), Audit[[#This Row],[Audit Candidate 11]]-Audit[[#This Row],[Candidate 11]], "")</f>
        <v/>
      </c>
      <c r="AP234" s="114" t="str">
        <f>IF(NOT(ISBLANK(Audit[[#This Row],[Audit Candidate 12]])), Audit[[#This Row],[Audit Candidate 12]]-Audit[[#This Row],[Candidate 12]], "")</f>
        <v/>
      </c>
      <c r="AQ234" s="114">
        <f>SUMIF(Audit[[#This Row],[Difference Winner]:[Difference Candidate 12]], "&gt;0")</f>
        <v>0</v>
      </c>
      <c r="AR234" s="114">
        <f>SUM(Audit[[#This Row],[Difference Winner]:[Difference Candidate 12]])</f>
        <v>0</v>
      </c>
      <c r="AS234" s="114">
        <f>IF(Audit[[#This Row],[Times p Drawn - With Replacement]]&gt;0, IF(Audit[[#This Row],[Canceled Differences]]&lt;0, Audit[[#This Row],[Max Differences]]+ABS(Audit[[#This Row],[Canceled Differences]]), Audit[[#This Row],[Max Differences]]), 0)</f>
        <v>0</v>
      </c>
      <c r="AT234" s="114">
        <f>'Sampling Data'!AB234</f>
        <v>1.4095189937424941E-2</v>
      </c>
      <c r="AU234" s="114">
        <f>IF(
      SUM(Audit[[#This Row],[Audit Losing Candidate]:[Audit Candidate 12]])
      &lt;&gt;0,
      (Audit[[#This Row],[Winning Candidate]]-Audit[[#This Row],[Losing Candidate]]-(Audit[[#This Row],[Audit Winning Candidate]]-Audit[[#This Row],[Audit Losing Candidate]]))/(Audit[[#Totals],[Winning Candidate]]-Audit[[#Totals],[Losing Candidate]]),
      0
)</f>
        <v>0</v>
      </c>
      <c r="AV2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4" s="114">
        <f>IF(Audit[[#This Row],[Max Relative Error (ep)]] = 0, 0, Audit[[#This Row],[Max Relative Error (ep)]]/Audit[[#This Row],[Error Bound (up) - Max. possible relative overstatement]])</f>
        <v>0</v>
      </c>
      <c r="BH2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4" s="114">
        <f t="shared" si="4"/>
        <v>1</v>
      </c>
      <c r="BJ234" s="114">
        <f>PRODUCT($BI$5:BI234)</f>
        <v>0.20973752198051165</v>
      </c>
      <c r="BK234" s="112">
        <f>1 - Audit[[#This Row],[K-M P Value]]</f>
        <v>0.79026247801948835</v>
      </c>
      <c r="BL234" s="114" t="str">
        <f>IF(Audit[[#This Row],[K-M P Value]]&gt;1-'General Info'!$B$12,"Continue", "Stop")</f>
        <v>Continue</v>
      </c>
      <c r="BM234" s="113" t="b">
        <f>IF(Audit[[#This Row],[Status - Continue or stop audit]] = "Continue", TRUE, IF(BL233 = "Continue", TRUE, FALSE))</f>
        <v>1</v>
      </c>
      <c r="BN234" s="113"/>
    </row>
    <row r="235" spans="1:66" ht="15" hidden="1" customHeight="1" x14ac:dyDescent="0.35">
      <c r="A235" s="114" t="str">
        <f>'Sampling Data'!AI235</f>
        <v/>
      </c>
      <c r="B235" s="114" t="str">
        <f>'Sampling Data'!A235</f>
        <v>0504 CIN 5-D   (ED)</v>
      </c>
      <c r="C235" s="114">
        <f>'Sampling Data'!B235</f>
        <v>137</v>
      </c>
      <c r="D235" s="114">
        <f>'Sampling Data'!C235</f>
        <v>38</v>
      </c>
      <c r="E235" s="115">
        <f>'Sampling Data'!D235</f>
        <v>16</v>
      </c>
      <c r="F235" s="115">
        <f>'Sampling Data'!E235</f>
        <v>0</v>
      </c>
      <c r="G235" s="115">
        <f>'Sampling Data'!F235</f>
        <v>0</v>
      </c>
      <c r="H235" s="115">
        <f>'Sampling Data'!G235</f>
        <v>0</v>
      </c>
      <c r="I235" s="115">
        <f>'Sampling Data'!H235</f>
        <v>0</v>
      </c>
      <c r="J235" s="115">
        <f>'Sampling Data'!I235</f>
        <v>0</v>
      </c>
      <c r="K235" s="115">
        <f>'Sampling Data'!J235</f>
        <v>0</v>
      </c>
      <c r="L235" s="115">
        <f>'Sampling Data'!K235</f>
        <v>0</v>
      </c>
      <c r="M235" s="115">
        <f>'Sampling Data'!L235</f>
        <v>0</v>
      </c>
      <c r="N235" s="115">
        <f>'Sampling Data'!M235</f>
        <v>0</v>
      </c>
      <c r="O235" s="114">
        <f>'Sampling Data'!N235</f>
        <v>0</v>
      </c>
      <c r="P235" s="114">
        <f>'Sampling Data'!O235</f>
        <v>2</v>
      </c>
      <c r="Q235" s="114">
        <f>'Sampling Data'!P235</f>
        <v>193</v>
      </c>
      <c r="R235" s="114">
        <f>'Sampling Data'!AJ235</f>
        <v>0</v>
      </c>
      <c r="S235" s="116"/>
      <c r="T235" s="116"/>
      <c r="U235" s="117"/>
      <c r="V235" s="117"/>
      <c r="W235" s="116"/>
      <c r="X235" s="116"/>
      <c r="Y235" s="116"/>
      <c r="Z235" s="116"/>
      <c r="AA235" s="15"/>
      <c r="AB235" s="15"/>
      <c r="AC235" s="15"/>
      <c r="AD235" s="15"/>
      <c r="AE235" s="118" t="str">
        <f>IF(NOT(ISBLANK(Audit[[#This Row],[Audit Winning Candidate]])), Audit[[#This Row],[Audit Winning Candidate]]-Audit[[#This Row],[Winning Candidate]], "")</f>
        <v/>
      </c>
      <c r="AF235" s="114" t="str">
        <f>IF(NOT(ISBLANK(Audit[[#This Row],[Audit Losing Candidate]])), Audit[[#This Row],[Audit Losing Candidate]]-Audit[[#This Row],[Losing Candidate]], "")</f>
        <v/>
      </c>
      <c r="AG235" s="114" t="str">
        <f>IF(NOT(ISBLANK(Audit[[#This Row],[Audit Candidate 3]])), Audit[[#This Row],[Audit Candidate 3]]-Audit[[#This Row],[Candidate 3]], "")</f>
        <v/>
      </c>
      <c r="AH235" s="114" t="str">
        <f>IF(NOT(ISBLANK(Audit[[#This Row],[Audit Candidate 4]])),Audit[[#This Row],[Audit Candidate 4]]-Audit[[#This Row],[Candidate 4]], "")</f>
        <v/>
      </c>
      <c r="AI235" s="114" t="str">
        <f>IF(NOT(ISBLANK(Audit[[#This Row],[Audit Candidate 5]])), Audit[[#This Row],[Audit Candidate 5]]-Audit[[#This Row],[Candidate 5]], "")</f>
        <v/>
      </c>
      <c r="AJ235" s="114" t="str">
        <f>IF(NOT(ISBLANK(Audit[[#This Row],[Audit Candidate 6]])), Audit[[#This Row],[Audit Candidate 6]]-Audit[[#This Row],[Candidate 6]], "")</f>
        <v/>
      </c>
      <c r="AK235" s="114" t="str">
        <f>IF(NOT(ISBLANK(Audit[[#This Row],[Audit Candidate 7]])), Audit[[#This Row],[Audit Candidate 7]]-Audit[[#This Row],[Candidate 7]], "")</f>
        <v/>
      </c>
      <c r="AL235" s="114" t="str">
        <f>IF(NOT(ISBLANK(Audit[[#This Row],[Audit Candidate 8]])), Audit[[#This Row],[Audit Candidate 8]]-Audit[[#This Row],[Candidate 8]], "")</f>
        <v/>
      </c>
      <c r="AM235" s="114" t="str">
        <f>IF(NOT(ISBLANK(Audit[[#This Row],[Audit Candidate 9]])), Audit[[#This Row],[Audit Candidate 9]]-Audit[[#This Row],[Candidate 9]], "")</f>
        <v/>
      </c>
      <c r="AN235" s="114" t="str">
        <f>IF(NOT(ISBLANK(Audit[[#This Row],[Audit Candidate 10]])), Audit[[#This Row],[Audit Candidate 10]]-Audit[[#This Row],[Candidate 10]], "")</f>
        <v/>
      </c>
      <c r="AO235" s="114" t="str">
        <f>IF(NOT(ISBLANK(Audit[[#This Row],[Audit Candidate 11]])), Audit[[#This Row],[Audit Candidate 11]]-Audit[[#This Row],[Candidate 11]], "")</f>
        <v/>
      </c>
      <c r="AP235" s="114" t="str">
        <f>IF(NOT(ISBLANK(Audit[[#This Row],[Audit Candidate 12]])), Audit[[#This Row],[Audit Candidate 12]]-Audit[[#This Row],[Candidate 12]], "")</f>
        <v/>
      </c>
      <c r="AQ235" s="114">
        <f>SUMIF(Audit[[#This Row],[Difference Winner]:[Difference Candidate 12]], "&gt;0")</f>
        <v>0</v>
      </c>
      <c r="AR235" s="114">
        <f>SUM(Audit[[#This Row],[Difference Winner]:[Difference Candidate 12]])</f>
        <v>0</v>
      </c>
      <c r="AS235" s="114">
        <f>IF(Audit[[#This Row],[Times p Drawn - With Replacement]]&gt;0, IF(Audit[[#This Row],[Canceled Differences]]&lt;0, Audit[[#This Row],[Max Differences]]+ABS(Audit[[#This Row],[Canceled Differences]]), Audit[[#This Row],[Max Differences]]), 0)</f>
        <v>0</v>
      </c>
      <c r="AT235" s="114">
        <f>'Sampling Data'!AB235</f>
        <v>1.8456481891157322E-2</v>
      </c>
      <c r="AU235" s="114">
        <f>IF(
      SUM(Audit[[#This Row],[Audit Losing Candidate]:[Audit Candidate 12]])
      &lt;&gt;0,
      (Audit[[#This Row],[Winning Candidate]]-Audit[[#This Row],[Losing Candidate]]-(Audit[[#This Row],[Audit Winning Candidate]]-Audit[[#This Row],[Audit Losing Candidate]]))/(Audit[[#Totals],[Winning Candidate]]-Audit[[#Totals],[Losing Candidate]]),
      0
)</f>
        <v>0</v>
      </c>
      <c r="AV2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5" s="114">
        <f>IF(Audit[[#This Row],[Max Relative Error (ep)]] = 0, 0, Audit[[#This Row],[Max Relative Error (ep)]]/Audit[[#This Row],[Error Bound (up) - Max. possible relative overstatement]])</f>
        <v>0</v>
      </c>
      <c r="BH2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5" s="114">
        <f t="shared" si="4"/>
        <v>1</v>
      </c>
      <c r="BJ235" s="114">
        <f>PRODUCT($BI$5:BI235)</f>
        <v>0.20973752198051165</v>
      </c>
      <c r="BK235" s="112">
        <f>1 - Audit[[#This Row],[K-M P Value]]</f>
        <v>0.79026247801948835</v>
      </c>
      <c r="BL235" s="114" t="str">
        <f>IF(Audit[[#This Row],[K-M P Value]]&gt;1-'General Info'!$B$12,"Continue", "Stop")</f>
        <v>Continue</v>
      </c>
      <c r="BM235" s="113" t="b">
        <f>IF(Audit[[#This Row],[Status - Continue or stop audit]] = "Continue", TRUE, IF(BL234 = "Continue", TRUE, FALSE))</f>
        <v>1</v>
      </c>
      <c r="BN235" s="113"/>
    </row>
    <row r="236" spans="1:66" ht="15" hidden="1" customHeight="1" x14ac:dyDescent="0.35">
      <c r="A236" s="114" t="str">
        <f>'Sampling Data'!AI236</f>
        <v/>
      </c>
      <c r="B236" s="114" t="str">
        <f>'Sampling Data'!A236</f>
        <v>0505 CIN 5-E   (ED)</v>
      </c>
      <c r="C236" s="114">
        <f>'Sampling Data'!B236</f>
        <v>135</v>
      </c>
      <c r="D236" s="114">
        <f>'Sampling Data'!C236</f>
        <v>23</v>
      </c>
      <c r="E236" s="115">
        <f>'Sampling Data'!D236</f>
        <v>13</v>
      </c>
      <c r="F236" s="115">
        <f>'Sampling Data'!E236</f>
        <v>0</v>
      </c>
      <c r="G236" s="115">
        <f>'Sampling Data'!F236</f>
        <v>0</v>
      </c>
      <c r="H236" s="115">
        <f>'Sampling Data'!G236</f>
        <v>0</v>
      </c>
      <c r="I236" s="115">
        <f>'Sampling Data'!H236</f>
        <v>0</v>
      </c>
      <c r="J236" s="115">
        <f>'Sampling Data'!I236</f>
        <v>0</v>
      </c>
      <c r="K236" s="115">
        <f>'Sampling Data'!J236</f>
        <v>0</v>
      </c>
      <c r="L236" s="115">
        <f>'Sampling Data'!K236</f>
        <v>0</v>
      </c>
      <c r="M236" s="115">
        <f>'Sampling Data'!L236</f>
        <v>0</v>
      </c>
      <c r="N236" s="115">
        <f>'Sampling Data'!M236</f>
        <v>0</v>
      </c>
      <c r="O236" s="114">
        <f>'Sampling Data'!N236</f>
        <v>0</v>
      </c>
      <c r="P236" s="114">
        <f>'Sampling Data'!O236</f>
        <v>4</v>
      </c>
      <c r="Q236" s="114">
        <f>'Sampling Data'!P236</f>
        <v>175</v>
      </c>
      <c r="R236" s="114">
        <f>'Sampling Data'!AJ236</f>
        <v>0</v>
      </c>
      <c r="S236" s="116"/>
      <c r="T236" s="116"/>
      <c r="U236" s="117"/>
      <c r="V236" s="117"/>
      <c r="W236" s="116"/>
      <c r="X236" s="116"/>
      <c r="Y236" s="116"/>
      <c r="Z236" s="116"/>
      <c r="AA236" s="15"/>
      <c r="AB236" s="15"/>
      <c r="AC236" s="15"/>
      <c r="AD236" s="15"/>
      <c r="AE236" s="118" t="str">
        <f>IF(NOT(ISBLANK(Audit[[#This Row],[Audit Winning Candidate]])), Audit[[#This Row],[Audit Winning Candidate]]-Audit[[#This Row],[Winning Candidate]], "")</f>
        <v/>
      </c>
      <c r="AF236" s="114" t="str">
        <f>IF(NOT(ISBLANK(Audit[[#This Row],[Audit Losing Candidate]])), Audit[[#This Row],[Audit Losing Candidate]]-Audit[[#This Row],[Losing Candidate]], "")</f>
        <v/>
      </c>
      <c r="AG236" s="114" t="str">
        <f>IF(NOT(ISBLANK(Audit[[#This Row],[Audit Candidate 3]])), Audit[[#This Row],[Audit Candidate 3]]-Audit[[#This Row],[Candidate 3]], "")</f>
        <v/>
      </c>
      <c r="AH236" s="114" t="str">
        <f>IF(NOT(ISBLANK(Audit[[#This Row],[Audit Candidate 4]])),Audit[[#This Row],[Audit Candidate 4]]-Audit[[#This Row],[Candidate 4]], "")</f>
        <v/>
      </c>
      <c r="AI236" s="114" t="str">
        <f>IF(NOT(ISBLANK(Audit[[#This Row],[Audit Candidate 5]])), Audit[[#This Row],[Audit Candidate 5]]-Audit[[#This Row],[Candidate 5]], "")</f>
        <v/>
      </c>
      <c r="AJ236" s="114" t="str">
        <f>IF(NOT(ISBLANK(Audit[[#This Row],[Audit Candidate 6]])), Audit[[#This Row],[Audit Candidate 6]]-Audit[[#This Row],[Candidate 6]], "")</f>
        <v/>
      </c>
      <c r="AK236" s="114" t="str">
        <f>IF(NOT(ISBLANK(Audit[[#This Row],[Audit Candidate 7]])), Audit[[#This Row],[Audit Candidate 7]]-Audit[[#This Row],[Candidate 7]], "")</f>
        <v/>
      </c>
      <c r="AL236" s="114" t="str">
        <f>IF(NOT(ISBLANK(Audit[[#This Row],[Audit Candidate 8]])), Audit[[#This Row],[Audit Candidate 8]]-Audit[[#This Row],[Candidate 8]], "")</f>
        <v/>
      </c>
      <c r="AM236" s="114" t="str">
        <f>IF(NOT(ISBLANK(Audit[[#This Row],[Audit Candidate 9]])), Audit[[#This Row],[Audit Candidate 9]]-Audit[[#This Row],[Candidate 9]], "")</f>
        <v/>
      </c>
      <c r="AN236" s="114" t="str">
        <f>IF(NOT(ISBLANK(Audit[[#This Row],[Audit Candidate 10]])), Audit[[#This Row],[Audit Candidate 10]]-Audit[[#This Row],[Candidate 10]], "")</f>
        <v/>
      </c>
      <c r="AO236" s="114" t="str">
        <f>IF(NOT(ISBLANK(Audit[[#This Row],[Audit Candidate 11]])), Audit[[#This Row],[Audit Candidate 11]]-Audit[[#This Row],[Candidate 11]], "")</f>
        <v/>
      </c>
      <c r="AP236" s="114" t="str">
        <f>IF(NOT(ISBLANK(Audit[[#This Row],[Audit Candidate 12]])), Audit[[#This Row],[Audit Candidate 12]]-Audit[[#This Row],[Candidate 12]], "")</f>
        <v/>
      </c>
      <c r="AQ236" s="114">
        <f>SUMIF(Audit[[#This Row],[Difference Winner]:[Difference Candidate 12]], "&gt;0")</f>
        <v>0</v>
      </c>
      <c r="AR236" s="114">
        <f>SUM(Audit[[#This Row],[Difference Winner]:[Difference Candidate 12]])</f>
        <v>0</v>
      </c>
      <c r="AS236" s="114">
        <f>IF(Audit[[#This Row],[Times p Drawn - With Replacement]]&gt;0, IF(Audit[[#This Row],[Canceled Differences]]&lt;0, Audit[[#This Row],[Max Differences]]+ABS(Audit[[#This Row],[Canceled Differences]]), Audit[[#This Row],[Max Differences]]), 0)</f>
        <v>0</v>
      </c>
      <c r="AT236" s="114">
        <f>'Sampling Data'!AB236</f>
        <v>1.8140446242336135E-2</v>
      </c>
      <c r="AU236" s="114">
        <f>IF(
      SUM(Audit[[#This Row],[Audit Losing Candidate]:[Audit Candidate 12]])
      &lt;&gt;0,
      (Audit[[#This Row],[Winning Candidate]]-Audit[[#This Row],[Losing Candidate]]-(Audit[[#This Row],[Audit Winning Candidate]]-Audit[[#This Row],[Audit Losing Candidate]]))/(Audit[[#Totals],[Winning Candidate]]-Audit[[#Totals],[Losing Candidate]]),
      0
)</f>
        <v>0</v>
      </c>
      <c r="AV2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6" s="114">
        <f>IF(Audit[[#This Row],[Max Relative Error (ep)]] = 0, 0, Audit[[#This Row],[Max Relative Error (ep)]]/Audit[[#This Row],[Error Bound (up) - Max. possible relative overstatement]])</f>
        <v>0</v>
      </c>
      <c r="BH2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6" s="114">
        <f t="shared" si="4"/>
        <v>1</v>
      </c>
      <c r="BJ236" s="114">
        <f>PRODUCT($BI$5:BI236)</f>
        <v>0.20973752198051165</v>
      </c>
      <c r="BK236" s="112">
        <f>1 - Audit[[#This Row],[K-M P Value]]</f>
        <v>0.79026247801948835</v>
      </c>
      <c r="BL236" s="114" t="str">
        <f>IF(Audit[[#This Row],[K-M P Value]]&gt;1-'General Info'!$B$12,"Continue", "Stop")</f>
        <v>Continue</v>
      </c>
      <c r="BM236" s="113" t="b">
        <f>IF(Audit[[#This Row],[Status - Continue or stop audit]] = "Continue", TRUE, IF(BL235 = "Continue", TRUE, FALSE))</f>
        <v>1</v>
      </c>
      <c r="BN236" s="113"/>
    </row>
    <row r="237" spans="1:66" ht="15" hidden="1" customHeight="1" x14ac:dyDescent="0.35">
      <c r="A237" s="114" t="str">
        <f>'Sampling Data'!AI237</f>
        <v/>
      </c>
      <c r="B237" s="114" t="str">
        <f>'Sampling Data'!A237</f>
        <v>0506 CIN 5-F   (ED)</v>
      </c>
      <c r="C237" s="114">
        <f>'Sampling Data'!B237</f>
        <v>68</v>
      </c>
      <c r="D237" s="114">
        <f>'Sampling Data'!C237</f>
        <v>19</v>
      </c>
      <c r="E237" s="115">
        <f>'Sampling Data'!D237</f>
        <v>5</v>
      </c>
      <c r="F237" s="115">
        <f>'Sampling Data'!E237</f>
        <v>0</v>
      </c>
      <c r="G237" s="115">
        <f>'Sampling Data'!F237</f>
        <v>0</v>
      </c>
      <c r="H237" s="115">
        <f>'Sampling Data'!G237</f>
        <v>0</v>
      </c>
      <c r="I237" s="115">
        <f>'Sampling Data'!H237</f>
        <v>0</v>
      </c>
      <c r="J237" s="115">
        <f>'Sampling Data'!I237</f>
        <v>0</v>
      </c>
      <c r="K237" s="115">
        <f>'Sampling Data'!J237</f>
        <v>0</v>
      </c>
      <c r="L237" s="115">
        <f>'Sampling Data'!K237</f>
        <v>0</v>
      </c>
      <c r="M237" s="115">
        <f>'Sampling Data'!L237</f>
        <v>0</v>
      </c>
      <c r="N237" s="115">
        <f>'Sampling Data'!M237</f>
        <v>0</v>
      </c>
      <c r="O237" s="114">
        <f>'Sampling Data'!N237</f>
        <v>0</v>
      </c>
      <c r="P237" s="114">
        <f>'Sampling Data'!O237</f>
        <v>3</v>
      </c>
      <c r="Q237" s="114">
        <f>'Sampling Data'!P237</f>
        <v>95</v>
      </c>
      <c r="R237" s="114">
        <f>'Sampling Data'!AJ237</f>
        <v>0</v>
      </c>
      <c r="S237" s="116"/>
      <c r="T237" s="116"/>
      <c r="U237" s="117"/>
      <c r="V237" s="117"/>
      <c r="W237" s="116"/>
      <c r="X237" s="116"/>
      <c r="Y237" s="116"/>
      <c r="Z237" s="116"/>
      <c r="AA237" s="15"/>
      <c r="AB237" s="15"/>
      <c r="AC237" s="15"/>
      <c r="AD237" s="15"/>
      <c r="AE237" s="118" t="str">
        <f>IF(NOT(ISBLANK(Audit[[#This Row],[Audit Winning Candidate]])), Audit[[#This Row],[Audit Winning Candidate]]-Audit[[#This Row],[Winning Candidate]], "")</f>
        <v/>
      </c>
      <c r="AF237" s="114" t="str">
        <f>IF(NOT(ISBLANK(Audit[[#This Row],[Audit Losing Candidate]])), Audit[[#This Row],[Audit Losing Candidate]]-Audit[[#This Row],[Losing Candidate]], "")</f>
        <v/>
      </c>
      <c r="AG237" s="114" t="str">
        <f>IF(NOT(ISBLANK(Audit[[#This Row],[Audit Candidate 3]])), Audit[[#This Row],[Audit Candidate 3]]-Audit[[#This Row],[Candidate 3]], "")</f>
        <v/>
      </c>
      <c r="AH237" s="114" t="str">
        <f>IF(NOT(ISBLANK(Audit[[#This Row],[Audit Candidate 4]])),Audit[[#This Row],[Audit Candidate 4]]-Audit[[#This Row],[Candidate 4]], "")</f>
        <v/>
      </c>
      <c r="AI237" s="114" t="str">
        <f>IF(NOT(ISBLANK(Audit[[#This Row],[Audit Candidate 5]])), Audit[[#This Row],[Audit Candidate 5]]-Audit[[#This Row],[Candidate 5]], "")</f>
        <v/>
      </c>
      <c r="AJ237" s="114" t="str">
        <f>IF(NOT(ISBLANK(Audit[[#This Row],[Audit Candidate 6]])), Audit[[#This Row],[Audit Candidate 6]]-Audit[[#This Row],[Candidate 6]], "")</f>
        <v/>
      </c>
      <c r="AK237" s="114" t="str">
        <f>IF(NOT(ISBLANK(Audit[[#This Row],[Audit Candidate 7]])), Audit[[#This Row],[Audit Candidate 7]]-Audit[[#This Row],[Candidate 7]], "")</f>
        <v/>
      </c>
      <c r="AL237" s="114" t="str">
        <f>IF(NOT(ISBLANK(Audit[[#This Row],[Audit Candidate 8]])), Audit[[#This Row],[Audit Candidate 8]]-Audit[[#This Row],[Candidate 8]], "")</f>
        <v/>
      </c>
      <c r="AM237" s="114" t="str">
        <f>IF(NOT(ISBLANK(Audit[[#This Row],[Audit Candidate 9]])), Audit[[#This Row],[Audit Candidate 9]]-Audit[[#This Row],[Candidate 9]], "")</f>
        <v/>
      </c>
      <c r="AN237" s="114" t="str">
        <f>IF(NOT(ISBLANK(Audit[[#This Row],[Audit Candidate 10]])), Audit[[#This Row],[Audit Candidate 10]]-Audit[[#This Row],[Candidate 10]], "")</f>
        <v/>
      </c>
      <c r="AO237" s="114" t="str">
        <f>IF(NOT(ISBLANK(Audit[[#This Row],[Audit Candidate 11]])), Audit[[#This Row],[Audit Candidate 11]]-Audit[[#This Row],[Candidate 11]], "")</f>
        <v/>
      </c>
      <c r="AP237" s="114" t="str">
        <f>IF(NOT(ISBLANK(Audit[[#This Row],[Audit Candidate 12]])), Audit[[#This Row],[Audit Candidate 12]]-Audit[[#This Row],[Candidate 12]], "")</f>
        <v/>
      </c>
      <c r="AQ237" s="114">
        <f>SUMIF(Audit[[#This Row],[Difference Winner]:[Difference Candidate 12]], "&gt;0")</f>
        <v>0</v>
      </c>
      <c r="AR237" s="114">
        <f>SUM(Audit[[#This Row],[Difference Winner]:[Difference Candidate 12]])</f>
        <v>0</v>
      </c>
      <c r="AS237" s="114">
        <f>IF(Audit[[#This Row],[Times p Drawn - With Replacement]]&gt;0, IF(Audit[[#This Row],[Canceled Differences]]&lt;0, Audit[[#This Row],[Max Differences]]+ABS(Audit[[#This Row],[Canceled Differences]]), Audit[[#This Row],[Max Differences]]), 0)</f>
        <v>0</v>
      </c>
      <c r="AT237" s="114">
        <f>'Sampling Data'!AB237</f>
        <v>9.1018266860501858E-3</v>
      </c>
      <c r="AU237" s="114">
        <f>IF(
      SUM(Audit[[#This Row],[Audit Losing Candidate]:[Audit Candidate 12]])
      &lt;&gt;0,
      (Audit[[#This Row],[Winning Candidate]]-Audit[[#This Row],[Losing Candidate]]-(Audit[[#This Row],[Audit Winning Candidate]]-Audit[[#This Row],[Audit Losing Candidate]]))/(Audit[[#Totals],[Winning Candidate]]-Audit[[#Totals],[Losing Candidate]]),
      0
)</f>
        <v>0</v>
      </c>
      <c r="AV2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7" s="114">
        <f>IF(Audit[[#This Row],[Max Relative Error (ep)]] = 0, 0, Audit[[#This Row],[Max Relative Error (ep)]]/Audit[[#This Row],[Error Bound (up) - Max. possible relative overstatement]])</f>
        <v>0</v>
      </c>
      <c r="BH2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7" s="114">
        <f t="shared" si="4"/>
        <v>1</v>
      </c>
      <c r="BJ237" s="114">
        <f>PRODUCT($BI$5:BI237)</f>
        <v>0.20973752198051165</v>
      </c>
      <c r="BK237" s="112">
        <f>1 - Audit[[#This Row],[K-M P Value]]</f>
        <v>0.79026247801948835</v>
      </c>
      <c r="BL237" s="114" t="str">
        <f>IF(Audit[[#This Row],[K-M P Value]]&gt;1-'General Info'!$B$12,"Continue", "Stop")</f>
        <v>Continue</v>
      </c>
      <c r="BM237" s="113" t="b">
        <f>IF(Audit[[#This Row],[Status - Continue or stop audit]] = "Continue", TRUE, IF(BL236 = "Continue", TRUE, FALSE))</f>
        <v>1</v>
      </c>
      <c r="BN237" s="113"/>
    </row>
    <row r="238" spans="1:66" ht="15" hidden="1" customHeight="1" x14ac:dyDescent="0.35">
      <c r="A238" s="114" t="str">
        <f>'Sampling Data'!AI238</f>
        <v/>
      </c>
      <c r="B238" s="114" t="str">
        <f>'Sampling Data'!A238</f>
        <v>0507 CIN 5-G   (ED)</v>
      </c>
      <c r="C238" s="114">
        <f>'Sampling Data'!B238</f>
        <v>89</v>
      </c>
      <c r="D238" s="114">
        <f>'Sampling Data'!C238</f>
        <v>38</v>
      </c>
      <c r="E238" s="115">
        <f>'Sampling Data'!D238</f>
        <v>10</v>
      </c>
      <c r="F238" s="115">
        <f>'Sampling Data'!E238</f>
        <v>0</v>
      </c>
      <c r="G238" s="115">
        <f>'Sampling Data'!F238</f>
        <v>0</v>
      </c>
      <c r="H238" s="115">
        <f>'Sampling Data'!G238</f>
        <v>0</v>
      </c>
      <c r="I238" s="115">
        <f>'Sampling Data'!H238</f>
        <v>0</v>
      </c>
      <c r="J238" s="115">
        <f>'Sampling Data'!I238</f>
        <v>0</v>
      </c>
      <c r="K238" s="115">
        <f>'Sampling Data'!J238</f>
        <v>0</v>
      </c>
      <c r="L238" s="115">
        <f>'Sampling Data'!K238</f>
        <v>0</v>
      </c>
      <c r="M238" s="115">
        <f>'Sampling Data'!L238</f>
        <v>0</v>
      </c>
      <c r="N238" s="115">
        <f>'Sampling Data'!M238</f>
        <v>0</v>
      </c>
      <c r="O238" s="114">
        <f>'Sampling Data'!N238</f>
        <v>0</v>
      </c>
      <c r="P238" s="114">
        <f>'Sampling Data'!O238</f>
        <v>3</v>
      </c>
      <c r="Q238" s="114">
        <f>'Sampling Data'!P238</f>
        <v>140</v>
      </c>
      <c r="R238" s="114">
        <f>'Sampling Data'!AJ238</f>
        <v>0</v>
      </c>
      <c r="S238" s="116"/>
      <c r="T238" s="116"/>
      <c r="U238" s="117"/>
      <c r="V238" s="117"/>
      <c r="W238" s="116"/>
      <c r="X238" s="116"/>
      <c r="Y238" s="116"/>
      <c r="Z238" s="116"/>
      <c r="AA238" s="15"/>
      <c r="AB238" s="15"/>
      <c r="AC238" s="15"/>
      <c r="AD238" s="15"/>
      <c r="AE238" s="118" t="str">
        <f>IF(NOT(ISBLANK(Audit[[#This Row],[Audit Winning Candidate]])), Audit[[#This Row],[Audit Winning Candidate]]-Audit[[#This Row],[Winning Candidate]], "")</f>
        <v/>
      </c>
      <c r="AF238" s="114" t="str">
        <f>IF(NOT(ISBLANK(Audit[[#This Row],[Audit Losing Candidate]])), Audit[[#This Row],[Audit Losing Candidate]]-Audit[[#This Row],[Losing Candidate]], "")</f>
        <v/>
      </c>
      <c r="AG238" s="114" t="str">
        <f>IF(NOT(ISBLANK(Audit[[#This Row],[Audit Candidate 3]])), Audit[[#This Row],[Audit Candidate 3]]-Audit[[#This Row],[Candidate 3]], "")</f>
        <v/>
      </c>
      <c r="AH238" s="114" t="str">
        <f>IF(NOT(ISBLANK(Audit[[#This Row],[Audit Candidate 4]])),Audit[[#This Row],[Audit Candidate 4]]-Audit[[#This Row],[Candidate 4]], "")</f>
        <v/>
      </c>
      <c r="AI238" s="114" t="str">
        <f>IF(NOT(ISBLANK(Audit[[#This Row],[Audit Candidate 5]])), Audit[[#This Row],[Audit Candidate 5]]-Audit[[#This Row],[Candidate 5]], "")</f>
        <v/>
      </c>
      <c r="AJ238" s="114" t="str">
        <f>IF(NOT(ISBLANK(Audit[[#This Row],[Audit Candidate 6]])), Audit[[#This Row],[Audit Candidate 6]]-Audit[[#This Row],[Candidate 6]], "")</f>
        <v/>
      </c>
      <c r="AK238" s="114" t="str">
        <f>IF(NOT(ISBLANK(Audit[[#This Row],[Audit Candidate 7]])), Audit[[#This Row],[Audit Candidate 7]]-Audit[[#This Row],[Candidate 7]], "")</f>
        <v/>
      </c>
      <c r="AL238" s="114" t="str">
        <f>IF(NOT(ISBLANK(Audit[[#This Row],[Audit Candidate 8]])), Audit[[#This Row],[Audit Candidate 8]]-Audit[[#This Row],[Candidate 8]], "")</f>
        <v/>
      </c>
      <c r="AM238" s="114" t="str">
        <f>IF(NOT(ISBLANK(Audit[[#This Row],[Audit Candidate 9]])), Audit[[#This Row],[Audit Candidate 9]]-Audit[[#This Row],[Candidate 9]], "")</f>
        <v/>
      </c>
      <c r="AN238" s="114" t="str">
        <f>IF(NOT(ISBLANK(Audit[[#This Row],[Audit Candidate 10]])), Audit[[#This Row],[Audit Candidate 10]]-Audit[[#This Row],[Candidate 10]], "")</f>
        <v/>
      </c>
      <c r="AO238" s="114" t="str">
        <f>IF(NOT(ISBLANK(Audit[[#This Row],[Audit Candidate 11]])), Audit[[#This Row],[Audit Candidate 11]]-Audit[[#This Row],[Candidate 11]], "")</f>
        <v/>
      </c>
      <c r="AP238" s="114" t="str">
        <f>IF(NOT(ISBLANK(Audit[[#This Row],[Audit Candidate 12]])), Audit[[#This Row],[Audit Candidate 12]]-Audit[[#This Row],[Candidate 12]], "")</f>
        <v/>
      </c>
      <c r="AQ238" s="114">
        <f>SUMIF(Audit[[#This Row],[Difference Winner]:[Difference Candidate 12]], "&gt;0")</f>
        <v>0</v>
      </c>
      <c r="AR238" s="114">
        <f>SUM(Audit[[#This Row],[Difference Winner]:[Difference Candidate 12]])</f>
        <v>0</v>
      </c>
      <c r="AS238" s="114">
        <f>IF(Audit[[#This Row],[Times p Drawn - With Replacement]]&gt;0, IF(Audit[[#This Row],[Canceled Differences]]&lt;0, Audit[[#This Row],[Max Differences]]+ABS(Audit[[#This Row],[Canceled Differences]]), Audit[[#This Row],[Max Differences]]), 0)</f>
        <v>0</v>
      </c>
      <c r="AT238" s="114">
        <f>'Sampling Data'!AB238</f>
        <v>1.2361706931587266E-2</v>
      </c>
      <c r="AU238" s="114">
        <f>IF(
      SUM(Audit[[#This Row],[Audit Losing Candidate]:[Audit Candidate 12]])
      &lt;&gt;0,
      (Audit[[#This Row],[Winning Candidate]]-Audit[[#This Row],[Losing Candidate]]-(Audit[[#This Row],[Audit Winning Candidate]]-Audit[[#This Row],[Audit Losing Candidate]]))/(Audit[[#Totals],[Winning Candidate]]-Audit[[#Totals],[Losing Candidate]]),
      0
)</f>
        <v>0</v>
      </c>
      <c r="AV2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8" s="114">
        <f>IF(Audit[[#This Row],[Max Relative Error (ep)]] = 0, 0, Audit[[#This Row],[Max Relative Error (ep)]]/Audit[[#This Row],[Error Bound (up) - Max. possible relative overstatement]])</f>
        <v>0</v>
      </c>
      <c r="BH2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8" s="114">
        <f t="shared" si="4"/>
        <v>1</v>
      </c>
      <c r="BJ238" s="114">
        <f>PRODUCT($BI$5:BI238)</f>
        <v>0.20973752198051165</v>
      </c>
      <c r="BK238" s="112">
        <f>1 - Audit[[#This Row],[K-M P Value]]</f>
        <v>0.79026247801948835</v>
      </c>
      <c r="BL238" s="114" t="str">
        <f>IF(Audit[[#This Row],[K-M P Value]]&gt;1-'General Info'!$B$12,"Continue", "Stop")</f>
        <v>Continue</v>
      </c>
      <c r="BM238" s="113" t="b">
        <f>IF(Audit[[#This Row],[Status - Continue or stop audit]] = "Continue", TRUE, IF(BL237 = "Continue", TRUE, FALSE))</f>
        <v>1</v>
      </c>
      <c r="BN238" s="113"/>
    </row>
    <row r="239" spans="1:66" ht="15" hidden="1" customHeight="1" x14ac:dyDescent="0.35">
      <c r="A239" s="114" t="str">
        <f>'Sampling Data'!AI239</f>
        <v/>
      </c>
      <c r="B239" s="114" t="str">
        <f>'Sampling Data'!A239</f>
        <v>0508 CIN 5-H   (ED)</v>
      </c>
      <c r="C239" s="114">
        <f>'Sampling Data'!B239</f>
        <v>110</v>
      </c>
      <c r="D239" s="114">
        <f>'Sampling Data'!C239</f>
        <v>5</v>
      </c>
      <c r="E239" s="115">
        <f>'Sampling Data'!D239</f>
        <v>2</v>
      </c>
      <c r="F239" s="115">
        <f>'Sampling Data'!E239</f>
        <v>0</v>
      </c>
      <c r="G239" s="115">
        <f>'Sampling Data'!F239</f>
        <v>0</v>
      </c>
      <c r="H239" s="115">
        <f>'Sampling Data'!G239</f>
        <v>0</v>
      </c>
      <c r="I239" s="115">
        <f>'Sampling Data'!H239</f>
        <v>0</v>
      </c>
      <c r="J239" s="115">
        <f>'Sampling Data'!I239</f>
        <v>0</v>
      </c>
      <c r="K239" s="115">
        <f>'Sampling Data'!J239</f>
        <v>0</v>
      </c>
      <c r="L239" s="115">
        <f>'Sampling Data'!K239</f>
        <v>0</v>
      </c>
      <c r="M239" s="115">
        <f>'Sampling Data'!L239</f>
        <v>0</v>
      </c>
      <c r="N239" s="115">
        <f>'Sampling Data'!M239</f>
        <v>0</v>
      </c>
      <c r="O239" s="114">
        <f>'Sampling Data'!N239</f>
        <v>0</v>
      </c>
      <c r="P239" s="114">
        <f>'Sampling Data'!O239</f>
        <v>0</v>
      </c>
      <c r="Q239" s="114">
        <f>'Sampling Data'!P239</f>
        <v>117</v>
      </c>
      <c r="R239" s="114">
        <f>'Sampling Data'!AJ239</f>
        <v>0</v>
      </c>
      <c r="S239" s="116"/>
      <c r="T239" s="116"/>
      <c r="U239" s="117"/>
      <c r="V239" s="117"/>
      <c r="W239" s="116"/>
      <c r="X239" s="116"/>
      <c r="Y239" s="116"/>
      <c r="Z239" s="116"/>
      <c r="AA239" s="15"/>
      <c r="AB239" s="15"/>
      <c r="AC239" s="15"/>
      <c r="AD239" s="15"/>
      <c r="AE239" s="118" t="str">
        <f>IF(NOT(ISBLANK(Audit[[#This Row],[Audit Winning Candidate]])), Audit[[#This Row],[Audit Winning Candidate]]-Audit[[#This Row],[Winning Candidate]], "")</f>
        <v/>
      </c>
      <c r="AF239" s="114" t="str">
        <f>IF(NOT(ISBLANK(Audit[[#This Row],[Audit Losing Candidate]])), Audit[[#This Row],[Audit Losing Candidate]]-Audit[[#This Row],[Losing Candidate]], "")</f>
        <v/>
      </c>
      <c r="AG239" s="114" t="str">
        <f>IF(NOT(ISBLANK(Audit[[#This Row],[Audit Candidate 3]])), Audit[[#This Row],[Audit Candidate 3]]-Audit[[#This Row],[Candidate 3]], "")</f>
        <v/>
      </c>
      <c r="AH239" s="114" t="str">
        <f>IF(NOT(ISBLANK(Audit[[#This Row],[Audit Candidate 4]])),Audit[[#This Row],[Audit Candidate 4]]-Audit[[#This Row],[Candidate 4]], "")</f>
        <v/>
      </c>
      <c r="AI239" s="114" t="str">
        <f>IF(NOT(ISBLANK(Audit[[#This Row],[Audit Candidate 5]])), Audit[[#This Row],[Audit Candidate 5]]-Audit[[#This Row],[Candidate 5]], "")</f>
        <v/>
      </c>
      <c r="AJ239" s="114" t="str">
        <f>IF(NOT(ISBLANK(Audit[[#This Row],[Audit Candidate 6]])), Audit[[#This Row],[Audit Candidate 6]]-Audit[[#This Row],[Candidate 6]], "")</f>
        <v/>
      </c>
      <c r="AK239" s="114" t="str">
        <f>IF(NOT(ISBLANK(Audit[[#This Row],[Audit Candidate 7]])), Audit[[#This Row],[Audit Candidate 7]]-Audit[[#This Row],[Candidate 7]], "")</f>
        <v/>
      </c>
      <c r="AL239" s="114" t="str">
        <f>IF(NOT(ISBLANK(Audit[[#This Row],[Audit Candidate 8]])), Audit[[#This Row],[Audit Candidate 8]]-Audit[[#This Row],[Candidate 8]], "")</f>
        <v/>
      </c>
      <c r="AM239" s="114" t="str">
        <f>IF(NOT(ISBLANK(Audit[[#This Row],[Audit Candidate 9]])), Audit[[#This Row],[Audit Candidate 9]]-Audit[[#This Row],[Candidate 9]], "")</f>
        <v/>
      </c>
      <c r="AN239" s="114" t="str">
        <f>IF(NOT(ISBLANK(Audit[[#This Row],[Audit Candidate 10]])), Audit[[#This Row],[Audit Candidate 10]]-Audit[[#This Row],[Candidate 10]], "")</f>
        <v/>
      </c>
      <c r="AO239" s="114" t="str">
        <f>IF(NOT(ISBLANK(Audit[[#This Row],[Audit Candidate 11]])), Audit[[#This Row],[Audit Candidate 11]]-Audit[[#This Row],[Candidate 11]], "")</f>
        <v/>
      </c>
      <c r="AP239" s="114" t="str">
        <f>IF(NOT(ISBLANK(Audit[[#This Row],[Audit Candidate 12]])), Audit[[#This Row],[Audit Candidate 12]]-Audit[[#This Row],[Candidate 12]], "")</f>
        <v/>
      </c>
      <c r="AQ239" s="114">
        <f>SUMIF(Audit[[#This Row],[Difference Winner]:[Difference Candidate 12]], "&gt;0")</f>
        <v>0</v>
      </c>
      <c r="AR239" s="114">
        <f>SUM(Audit[[#This Row],[Difference Winner]:[Difference Candidate 12]])</f>
        <v>0</v>
      </c>
      <c r="AS239" s="114">
        <f>IF(Audit[[#This Row],[Times p Drawn - With Replacement]]&gt;0, IF(Audit[[#This Row],[Canceled Differences]]&lt;0, Audit[[#This Row],[Max Differences]]+ABS(Audit[[#This Row],[Canceled Differences]]), Audit[[#This Row],[Max Differences]]), 0)</f>
        <v>0</v>
      </c>
      <c r="AT239" s="114">
        <f>'Sampling Data'!AB239</f>
        <v>1.4031982807660704E-2</v>
      </c>
      <c r="AU239" s="114">
        <f>IF(
      SUM(Audit[[#This Row],[Audit Losing Candidate]:[Audit Candidate 12]])
      &lt;&gt;0,
      (Audit[[#This Row],[Winning Candidate]]-Audit[[#This Row],[Losing Candidate]]-(Audit[[#This Row],[Audit Winning Candidate]]-Audit[[#This Row],[Audit Losing Candidate]]))/(Audit[[#Totals],[Winning Candidate]]-Audit[[#Totals],[Losing Candidate]]),
      0
)</f>
        <v>0</v>
      </c>
      <c r="AV2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9" s="114">
        <f>IF(Audit[[#This Row],[Max Relative Error (ep)]] = 0, 0, Audit[[#This Row],[Max Relative Error (ep)]]/Audit[[#This Row],[Error Bound (up) - Max. possible relative overstatement]])</f>
        <v>0</v>
      </c>
      <c r="BH2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39" s="114">
        <f t="shared" si="4"/>
        <v>1</v>
      </c>
      <c r="BJ239" s="114">
        <f>PRODUCT($BI$5:BI239)</f>
        <v>0.20973752198051165</v>
      </c>
      <c r="BK239" s="112">
        <f>1 - Audit[[#This Row],[K-M P Value]]</f>
        <v>0.79026247801948835</v>
      </c>
      <c r="BL239" s="114" t="str">
        <f>IF(Audit[[#This Row],[K-M P Value]]&gt;1-'General Info'!$B$12,"Continue", "Stop")</f>
        <v>Continue</v>
      </c>
      <c r="BM239" s="113" t="b">
        <f>IF(Audit[[#This Row],[Status - Continue or stop audit]] = "Continue", TRUE, IF(BL238 = "Continue", TRUE, FALSE))</f>
        <v>1</v>
      </c>
      <c r="BN239" s="113"/>
    </row>
    <row r="240" spans="1:66" ht="15" hidden="1" customHeight="1" x14ac:dyDescent="0.35">
      <c r="A240" s="114" t="str">
        <f>'Sampling Data'!AI240</f>
        <v/>
      </c>
      <c r="B240" s="114" t="str">
        <f>'Sampling Data'!A240</f>
        <v>0509 CIN 5-I   (ED)</v>
      </c>
      <c r="C240" s="114">
        <f>'Sampling Data'!B240</f>
        <v>83</v>
      </c>
      <c r="D240" s="114">
        <f>'Sampling Data'!C240</f>
        <v>43</v>
      </c>
      <c r="E240" s="115">
        <f>'Sampling Data'!D240</f>
        <v>19</v>
      </c>
      <c r="F240" s="115">
        <f>'Sampling Data'!E240</f>
        <v>0</v>
      </c>
      <c r="G240" s="115">
        <f>'Sampling Data'!F240</f>
        <v>0</v>
      </c>
      <c r="H240" s="115">
        <f>'Sampling Data'!G240</f>
        <v>0</v>
      </c>
      <c r="I240" s="115">
        <f>'Sampling Data'!H240</f>
        <v>0</v>
      </c>
      <c r="J240" s="115">
        <f>'Sampling Data'!I240</f>
        <v>0</v>
      </c>
      <c r="K240" s="115">
        <f>'Sampling Data'!J240</f>
        <v>0</v>
      </c>
      <c r="L240" s="115">
        <f>'Sampling Data'!K240</f>
        <v>0</v>
      </c>
      <c r="M240" s="115">
        <f>'Sampling Data'!L240</f>
        <v>0</v>
      </c>
      <c r="N240" s="115">
        <f>'Sampling Data'!M240</f>
        <v>0</v>
      </c>
      <c r="O240" s="114">
        <f>'Sampling Data'!N240</f>
        <v>0</v>
      </c>
      <c r="P240" s="114">
        <f>'Sampling Data'!O240</f>
        <v>4</v>
      </c>
      <c r="Q240" s="114">
        <f>'Sampling Data'!P240</f>
        <v>149</v>
      </c>
      <c r="R240" s="114">
        <f>'Sampling Data'!AJ240</f>
        <v>0</v>
      </c>
      <c r="S240" s="116"/>
      <c r="T240" s="116"/>
      <c r="U240" s="117"/>
      <c r="V240" s="117"/>
      <c r="W240" s="116"/>
      <c r="X240" s="116"/>
      <c r="Y240" s="116"/>
      <c r="Z240" s="116"/>
      <c r="AA240" s="15"/>
      <c r="AB240" s="15"/>
      <c r="AC240" s="15"/>
      <c r="AD240" s="15"/>
      <c r="AE240" s="118" t="str">
        <f>IF(NOT(ISBLANK(Audit[[#This Row],[Audit Winning Candidate]])), Audit[[#This Row],[Audit Winning Candidate]]-Audit[[#This Row],[Winning Candidate]], "")</f>
        <v/>
      </c>
      <c r="AF240" s="114" t="str">
        <f>IF(NOT(ISBLANK(Audit[[#This Row],[Audit Losing Candidate]])), Audit[[#This Row],[Audit Losing Candidate]]-Audit[[#This Row],[Losing Candidate]], "")</f>
        <v/>
      </c>
      <c r="AG240" s="114" t="str">
        <f>IF(NOT(ISBLANK(Audit[[#This Row],[Audit Candidate 3]])), Audit[[#This Row],[Audit Candidate 3]]-Audit[[#This Row],[Candidate 3]], "")</f>
        <v/>
      </c>
      <c r="AH240" s="114" t="str">
        <f>IF(NOT(ISBLANK(Audit[[#This Row],[Audit Candidate 4]])),Audit[[#This Row],[Audit Candidate 4]]-Audit[[#This Row],[Candidate 4]], "")</f>
        <v/>
      </c>
      <c r="AI240" s="114" t="str">
        <f>IF(NOT(ISBLANK(Audit[[#This Row],[Audit Candidate 5]])), Audit[[#This Row],[Audit Candidate 5]]-Audit[[#This Row],[Candidate 5]], "")</f>
        <v/>
      </c>
      <c r="AJ240" s="114" t="str">
        <f>IF(NOT(ISBLANK(Audit[[#This Row],[Audit Candidate 6]])), Audit[[#This Row],[Audit Candidate 6]]-Audit[[#This Row],[Candidate 6]], "")</f>
        <v/>
      </c>
      <c r="AK240" s="114" t="str">
        <f>IF(NOT(ISBLANK(Audit[[#This Row],[Audit Candidate 7]])), Audit[[#This Row],[Audit Candidate 7]]-Audit[[#This Row],[Candidate 7]], "")</f>
        <v/>
      </c>
      <c r="AL240" s="114" t="str">
        <f>IF(NOT(ISBLANK(Audit[[#This Row],[Audit Candidate 8]])), Audit[[#This Row],[Audit Candidate 8]]-Audit[[#This Row],[Candidate 8]], "")</f>
        <v/>
      </c>
      <c r="AM240" s="114" t="str">
        <f>IF(NOT(ISBLANK(Audit[[#This Row],[Audit Candidate 9]])), Audit[[#This Row],[Audit Candidate 9]]-Audit[[#This Row],[Candidate 9]], "")</f>
        <v/>
      </c>
      <c r="AN240" s="114" t="str">
        <f>IF(NOT(ISBLANK(Audit[[#This Row],[Audit Candidate 10]])), Audit[[#This Row],[Audit Candidate 10]]-Audit[[#This Row],[Candidate 10]], "")</f>
        <v/>
      </c>
      <c r="AO240" s="114" t="str">
        <f>IF(NOT(ISBLANK(Audit[[#This Row],[Audit Candidate 11]])), Audit[[#This Row],[Audit Candidate 11]]-Audit[[#This Row],[Candidate 11]], "")</f>
        <v/>
      </c>
      <c r="AP240" s="114" t="str">
        <f>IF(NOT(ISBLANK(Audit[[#This Row],[Audit Candidate 12]])), Audit[[#This Row],[Audit Candidate 12]]-Audit[[#This Row],[Candidate 12]], "")</f>
        <v/>
      </c>
      <c r="AQ240" s="114">
        <f>SUMIF(Audit[[#This Row],[Difference Winner]:[Difference Candidate 12]], "&gt;0")</f>
        <v>0</v>
      </c>
      <c r="AR240" s="114">
        <f>SUM(Audit[[#This Row],[Difference Winner]:[Difference Candidate 12]])</f>
        <v>0</v>
      </c>
      <c r="AS240" s="114">
        <f>IF(Audit[[#This Row],[Times p Drawn - With Replacement]]&gt;0, IF(Audit[[#This Row],[Canceled Differences]]&lt;0, Audit[[#This Row],[Max Differences]]+ABS(Audit[[#This Row],[Canceled Differences]]), Audit[[#This Row],[Max Differences]]), 0)</f>
        <v>0</v>
      </c>
      <c r="AT240" s="114">
        <f>'Sampling Data'!AB240</f>
        <v>1.2023030029351999E-2</v>
      </c>
      <c r="AU240" s="114">
        <f>IF(
      SUM(Audit[[#This Row],[Audit Losing Candidate]:[Audit Candidate 12]])
      &lt;&gt;0,
      (Audit[[#This Row],[Winning Candidate]]-Audit[[#This Row],[Losing Candidate]]-(Audit[[#This Row],[Audit Winning Candidate]]-Audit[[#This Row],[Audit Losing Candidate]]))/(Audit[[#Totals],[Winning Candidate]]-Audit[[#Totals],[Losing Candidate]]),
      0
)</f>
        <v>0</v>
      </c>
      <c r="AV2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0" s="114">
        <f>IF(Audit[[#This Row],[Max Relative Error (ep)]] = 0, 0, Audit[[#This Row],[Max Relative Error (ep)]]/Audit[[#This Row],[Error Bound (up) - Max. possible relative overstatement]])</f>
        <v>0</v>
      </c>
      <c r="BH2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0" s="114">
        <f t="shared" si="4"/>
        <v>1</v>
      </c>
      <c r="BJ240" s="114">
        <f>PRODUCT($BI$5:BI240)</f>
        <v>0.20973752198051165</v>
      </c>
      <c r="BK240" s="112">
        <f>1 - Audit[[#This Row],[K-M P Value]]</f>
        <v>0.79026247801948835</v>
      </c>
      <c r="BL240" s="114" t="str">
        <f>IF(Audit[[#This Row],[K-M P Value]]&gt;1-'General Info'!$B$12,"Continue", "Stop")</f>
        <v>Continue</v>
      </c>
      <c r="BM240" s="113" t="b">
        <f>IF(Audit[[#This Row],[Status - Continue or stop audit]] = "Continue", TRUE, IF(BL239 = "Continue", TRUE, FALSE))</f>
        <v>1</v>
      </c>
      <c r="BN240" s="113"/>
    </row>
    <row r="241" spans="1:66" ht="15" hidden="1" customHeight="1" x14ac:dyDescent="0.35">
      <c r="A241" s="114" t="str">
        <f>'Sampling Data'!AI241</f>
        <v/>
      </c>
      <c r="B241" s="114" t="str">
        <f>'Sampling Data'!A241</f>
        <v>0601 CIN 6-A   (ED)</v>
      </c>
      <c r="C241" s="114">
        <f>'Sampling Data'!B241</f>
        <v>144</v>
      </c>
      <c r="D241" s="114">
        <f>'Sampling Data'!C241</f>
        <v>18</v>
      </c>
      <c r="E241" s="115">
        <f>'Sampling Data'!D241</f>
        <v>4</v>
      </c>
      <c r="F241" s="115">
        <f>'Sampling Data'!E241</f>
        <v>0</v>
      </c>
      <c r="G241" s="115">
        <f>'Sampling Data'!F241</f>
        <v>0</v>
      </c>
      <c r="H241" s="115">
        <f>'Sampling Data'!G241</f>
        <v>0</v>
      </c>
      <c r="I241" s="115">
        <f>'Sampling Data'!H241</f>
        <v>0</v>
      </c>
      <c r="J241" s="115">
        <f>'Sampling Data'!I241</f>
        <v>0</v>
      </c>
      <c r="K241" s="115">
        <f>'Sampling Data'!J241</f>
        <v>0</v>
      </c>
      <c r="L241" s="115">
        <f>'Sampling Data'!K241</f>
        <v>0</v>
      </c>
      <c r="M241" s="115">
        <f>'Sampling Data'!L241</f>
        <v>0</v>
      </c>
      <c r="N241" s="115">
        <f>'Sampling Data'!M241</f>
        <v>0</v>
      </c>
      <c r="O241" s="114">
        <f>'Sampling Data'!N241</f>
        <v>1</v>
      </c>
      <c r="P241" s="114">
        <f>'Sampling Data'!O241</f>
        <v>1</v>
      </c>
      <c r="Q241" s="114">
        <f>'Sampling Data'!P241</f>
        <v>168</v>
      </c>
      <c r="R241" s="114">
        <f>'Sampling Data'!AJ241</f>
        <v>0</v>
      </c>
      <c r="S241" s="116"/>
      <c r="T241" s="116"/>
      <c r="U241" s="117"/>
      <c r="V241" s="117"/>
      <c r="W241" s="116"/>
      <c r="X241" s="116"/>
      <c r="Y241" s="116"/>
      <c r="Z241" s="116"/>
      <c r="AA241" s="15"/>
      <c r="AB241" s="15"/>
      <c r="AC241" s="15"/>
      <c r="AD241" s="15"/>
      <c r="AE241" s="118" t="str">
        <f>IF(NOT(ISBLANK(Audit[[#This Row],[Audit Winning Candidate]])), Audit[[#This Row],[Audit Winning Candidate]]-Audit[[#This Row],[Winning Candidate]], "")</f>
        <v/>
      </c>
      <c r="AF241" s="114" t="str">
        <f>IF(NOT(ISBLANK(Audit[[#This Row],[Audit Losing Candidate]])), Audit[[#This Row],[Audit Losing Candidate]]-Audit[[#This Row],[Losing Candidate]], "")</f>
        <v/>
      </c>
      <c r="AG241" s="114" t="str">
        <f>IF(NOT(ISBLANK(Audit[[#This Row],[Audit Candidate 3]])), Audit[[#This Row],[Audit Candidate 3]]-Audit[[#This Row],[Candidate 3]], "")</f>
        <v/>
      </c>
      <c r="AH241" s="114" t="str">
        <f>IF(NOT(ISBLANK(Audit[[#This Row],[Audit Candidate 4]])),Audit[[#This Row],[Audit Candidate 4]]-Audit[[#This Row],[Candidate 4]], "")</f>
        <v/>
      </c>
      <c r="AI241" s="114" t="str">
        <f>IF(NOT(ISBLANK(Audit[[#This Row],[Audit Candidate 5]])), Audit[[#This Row],[Audit Candidate 5]]-Audit[[#This Row],[Candidate 5]], "")</f>
        <v/>
      </c>
      <c r="AJ241" s="114" t="str">
        <f>IF(NOT(ISBLANK(Audit[[#This Row],[Audit Candidate 6]])), Audit[[#This Row],[Audit Candidate 6]]-Audit[[#This Row],[Candidate 6]], "")</f>
        <v/>
      </c>
      <c r="AK241" s="114" t="str">
        <f>IF(NOT(ISBLANK(Audit[[#This Row],[Audit Candidate 7]])), Audit[[#This Row],[Audit Candidate 7]]-Audit[[#This Row],[Candidate 7]], "")</f>
        <v/>
      </c>
      <c r="AL241" s="114" t="str">
        <f>IF(NOT(ISBLANK(Audit[[#This Row],[Audit Candidate 8]])), Audit[[#This Row],[Audit Candidate 8]]-Audit[[#This Row],[Candidate 8]], "")</f>
        <v/>
      </c>
      <c r="AM241" s="114" t="str">
        <f>IF(NOT(ISBLANK(Audit[[#This Row],[Audit Candidate 9]])), Audit[[#This Row],[Audit Candidate 9]]-Audit[[#This Row],[Candidate 9]], "")</f>
        <v/>
      </c>
      <c r="AN241" s="114" t="str">
        <f>IF(NOT(ISBLANK(Audit[[#This Row],[Audit Candidate 10]])), Audit[[#This Row],[Audit Candidate 10]]-Audit[[#This Row],[Candidate 10]], "")</f>
        <v/>
      </c>
      <c r="AO241" s="114" t="str">
        <f>IF(NOT(ISBLANK(Audit[[#This Row],[Audit Candidate 11]])), Audit[[#This Row],[Audit Candidate 11]]-Audit[[#This Row],[Candidate 11]], "")</f>
        <v/>
      </c>
      <c r="AP241" s="114" t="str">
        <f>IF(NOT(ISBLANK(Audit[[#This Row],[Audit Candidate 12]])), Audit[[#This Row],[Audit Candidate 12]]-Audit[[#This Row],[Candidate 12]], "")</f>
        <v/>
      </c>
      <c r="AQ241" s="114">
        <f>SUMIF(Audit[[#This Row],[Difference Winner]:[Difference Candidate 12]], "&gt;0")</f>
        <v>0</v>
      </c>
      <c r="AR241" s="114">
        <f>SUM(Audit[[#This Row],[Difference Winner]:[Difference Candidate 12]])</f>
        <v>0</v>
      </c>
      <c r="AS241" s="114">
        <f>IF(Audit[[#This Row],[Times p Drawn - With Replacement]]&gt;0, IF(Audit[[#This Row],[Canceled Differences]]&lt;0, Audit[[#This Row],[Max Differences]]+ABS(Audit[[#This Row],[Canceled Differences]]), Audit[[#This Row],[Max Differences]]), 0)</f>
        <v>0</v>
      </c>
      <c r="AT241" s="114">
        <f>'Sampling Data'!AB241</f>
        <v>1.8582896150685799E-2</v>
      </c>
      <c r="AU241" s="114">
        <f>IF(
      SUM(Audit[[#This Row],[Audit Losing Candidate]:[Audit Candidate 12]])
      &lt;&gt;0,
      (Audit[[#This Row],[Winning Candidate]]-Audit[[#This Row],[Losing Candidate]]-(Audit[[#This Row],[Audit Winning Candidate]]-Audit[[#This Row],[Audit Losing Candidate]]))/(Audit[[#Totals],[Winning Candidate]]-Audit[[#Totals],[Losing Candidate]]),
      0
)</f>
        <v>0</v>
      </c>
      <c r="AV2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1" s="114">
        <f>IF(Audit[[#This Row],[Max Relative Error (ep)]] = 0, 0, Audit[[#This Row],[Max Relative Error (ep)]]/Audit[[#This Row],[Error Bound (up) - Max. possible relative overstatement]])</f>
        <v>0</v>
      </c>
      <c r="BH2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1" s="114">
        <f t="shared" si="4"/>
        <v>1</v>
      </c>
      <c r="BJ241" s="114">
        <f>PRODUCT($BI$5:BI241)</f>
        <v>0.20973752198051165</v>
      </c>
      <c r="BK241" s="112">
        <f>1 - Audit[[#This Row],[K-M P Value]]</f>
        <v>0.79026247801948835</v>
      </c>
      <c r="BL241" s="114" t="str">
        <f>IF(Audit[[#This Row],[K-M P Value]]&gt;1-'General Info'!$B$12,"Continue", "Stop")</f>
        <v>Continue</v>
      </c>
      <c r="BM241" s="113" t="b">
        <f>IF(Audit[[#This Row],[Status - Continue or stop audit]] = "Continue", TRUE, IF(BL240 = "Continue", TRUE, FALSE))</f>
        <v>1</v>
      </c>
      <c r="BN241" s="113"/>
    </row>
    <row r="242" spans="1:66" ht="15" hidden="1" customHeight="1" x14ac:dyDescent="0.35">
      <c r="A242" s="114" t="str">
        <f>'Sampling Data'!AI242</f>
        <v/>
      </c>
      <c r="B242" s="114" t="str">
        <f>'Sampling Data'!A242</f>
        <v>0602 CIN 6-B   (ED)</v>
      </c>
      <c r="C242" s="114">
        <f>'Sampling Data'!B242</f>
        <v>41</v>
      </c>
      <c r="D242" s="114">
        <f>'Sampling Data'!C242</f>
        <v>9</v>
      </c>
      <c r="E242" s="115">
        <f>'Sampling Data'!D242</f>
        <v>3</v>
      </c>
      <c r="F242" s="115">
        <f>'Sampling Data'!E242</f>
        <v>0</v>
      </c>
      <c r="G242" s="115">
        <f>'Sampling Data'!F242</f>
        <v>0</v>
      </c>
      <c r="H242" s="115">
        <f>'Sampling Data'!G242</f>
        <v>0</v>
      </c>
      <c r="I242" s="115">
        <f>'Sampling Data'!H242</f>
        <v>0</v>
      </c>
      <c r="J242" s="115">
        <f>'Sampling Data'!I242</f>
        <v>0</v>
      </c>
      <c r="K242" s="115">
        <f>'Sampling Data'!J242</f>
        <v>0</v>
      </c>
      <c r="L242" s="115">
        <f>'Sampling Data'!K242</f>
        <v>0</v>
      </c>
      <c r="M242" s="115">
        <f>'Sampling Data'!L242</f>
        <v>0</v>
      </c>
      <c r="N242" s="115">
        <f>'Sampling Data'!M242</f>
        <v>0</v>
      </c>
      <c r="O242" s="114">
        <f>'Sampling Data'!N242</f>
        <v>0</v>
      </c>
      <c r="P242" s="114">
        <f>'Sampling Data'!O242</f>
        <v>0</v>
      </c>
      <c r="Q242" s="114">
        <f>'Sampling Data'!P242</f>
        <v>53</v>
      </c>
      <c r="R242" s="114">
        <f>'Sampling Data'!AJ242</f>
        <v>0</v>
      </c>
      <c r="S242" s="116"/>
      <c r="T242" s="116"/>
      <c r="U242" s="117"/>
      <c r="V242" s="117"/>
      <c r="W242" s="116"/>
      <c r="X242" s="116"/>
      <c r="Y242" s="116"/>
      <c r="Z242" s="116"/>
      <c r="AA242" s="15"/>
      <c r="AB242" s="15"/>
      <c r="AC242" s="15"/>
      <c r="AD242" s="15"/>
      <c r="AE242" s="118" t="str">
        <f>IF(NOT(ISBLANK(Audit[[#This Row],[Audit Winning Candidate]])), Audit[[#This Row],[Audit Winning Candidate]]-Audit[[#This Row],[Winning Candidate]], "")</f>
        <v/>
      </c>
      <c r="AF242" s="114" t="str">
        <f>IF(NOT(ISBLANK(Audit[[#This Row],[Audit Losing Candidate]])), Audit[[#This Row],[Audit Losing Candidate]]-Audit[[#This Row],[Losing Candidate]], "")</f>
        <v/>
      </c>
      <c r="AG242" s="114" t="str">
        <f>IF(NOT(ISBLANK(Audit[[#This Row],[Audit Candidate 3]])), Audit[[#This Row],[Audit Candidate 3]]-Audit[[#This Row],[Candidate 3]], "")</f>
        <v/>
      </c>
      <c r="AH242" s="114" t="str">
        <f>IF(NOT(ISBLANK(Audit[[#This Row],[Audit Candidate 4]])),Audit[[#This Row],[Audit Candidate 4]]-Audit[[#This Row],[Candidate 4]], "")</f>
        <v/>
      </c>
      <c r="AI242" s="114" t="str">
        <f>IF(NOT(ISBLANK(Audit[[#This Row],[Audit Candidate 5]])), Audit[[#This Row],[Audit Candidate 5]]-Audit[[#This Row],[Candidate 5]], "")</f>
        <v/>
      </c>
      <c r="AJ242" s="114" t="str">
        <f>IF(NOT(ISBLANK(Audit[[#This Row],[Audit Candidate 6]])), Audit[[#This Row],[Audit Candidate 6]]-Audit[[#This Row],[Candidate 6]], "")</f>
        <v/>
      </c>
      <c r="AK242" s="114" t="str">
        <f>IF(NOT(ISBLANK(Audit[[#This Row],[Audit Candidate 7]])), Audit[[#This Row],[Audit Candidate 7]]-Audit[[#This Row],[Candidate 7]], "")</f>
        <v/>
      </c>
      <c r="AL242" s="114" t="str">
        <f>IF(NOT(ISBLANK(Audit[[#This Row],[Audit Candidate 8]])), Audit[[#This Row],[Audit Candidate 8]]-Audit[[#This Row],[Candidate 8]], "")</f>
        <v/>
      </c>
      <c r="AM242" s="114" t="str">
        <f>IF(NOT(ISBLANK(Audit[[#This Row],[Audit Candidate 9]])), Audit[[#This Row],[Audit Candidate 9]]-Audit[[#This Row],[Candidate 9]], "")</f>
        <v/>
      </c>
      <c r="AN242" s="114" t="str">
        <f>IF(NOT(ISBLANK(Audit[[#This Row],[Audit Candidate 10]])), Audit[[#This Row],[Audit Candidate 10]]-Audit[[#This Row],[Candidate 10]], "")</f>
        <v/>
      </c>
      <c r="AO242" s="114" t="str">
        <f>IF(NOT(ISBLANK(Audit[[#This Row],[Audit Candidate 11]])), Audit[[#This Row],[Audit Candidate 11]]-Audit[[#This Row],[Candidate 11]], "")</f>
        <v/>
      </c>
      <c r="AP242" s="114" t="str">
        <f>IF(NOT(ISBLANK(Audit[[#This Row],[Audit Candidate 12]])), Audit[[#This Row],[Audit Candidate 12]]-Audit[[#This Row],[Candidate 12]], "")</f>
        <v/>
      </c>
      <c r="AQ242" s="114">
        <f>SUMIF(Audit[[#This Row],[Difference Winner]:[Difference Candidate 12]], "&gt;0")</f>
        <v>0</v>
      </c>
      <c r="AR242" s="114">
        <f>SUM(Audit[[#This Row],[Difference Winner]:[Difference Candidate 12]])</f>
        <v>0</v>
      </c>
      <c r="AS242" s="114">
        <f>IF(Audit[[#This Row],[Times p Drawn - With Replacement]]&gt;0, IF(Audit[[#This Row],[Canceled Differences]]&lt;0, Audit[[#This Row],[Max Differences]]+ABS(Audit[[#This Row],[Canceled Differences]]), Audit[[#This Row],[Max Differences]]), 0)</f>
        <v>0</v>
      </c>
      <c r="AT242" s="114">
        <f>'Sampling Data'!AB242</f>
        <v>5.3726060299601796E-3</v>
      </c>
      <c r="AU242" s="114">
        <f>IF(
      SUM(Audit[[#This Row],[Audit Losing Candidate]:[Audit Candidate 12]])
      &lt;&gt;0,
      (Audit[[#This Row],[Winning Candidate]]-Audit[[#This Row],[Losing Candidate]]-(Audit[[#This Row],[Audit Winning Candidate]]-Audit[[#This Row],[Audit Losing Candidate]]))/(Audit[[#Totals],[Winning Candidate]]-Audit[[#Totals],[Losing Candidate]]),
      0
)</f>
        <v>0</v>
      </c>
      <c r="AV2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2" s="114">
        <f>IF(Audit[[#This Row],[Max Relative Error (ep)]] = 0, 0, Audit[[#This Row],[Max Relative Error (ep)]]/Audit[[#This Row],[Error Bound (up) - Max. possible relative overstatement]])</f>
        <v>0</v>
      </c>
      <c r="BH2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2" s="114">
        <f t="shared" si="4"/>
        <v>1</v>
      </c>
      <c r="BJ242" s="114">
        <f>PRODUCT($BI$5:BI242)</f>
        <v>0.20973752198051165</v>
      </c>
      <c r="BK242" s="112">
        <f>1 - Audit[[#This Row],[K-M P Value]]</f>
        <v>0.79026247801948835</v>
      </c>
      <c r="BL242" s="114" t="str">
        <f>IF(Audit[[#This Row],[K-M P Value]]&gt;1-'General Info'!$B$12,"Continue", "Stop")</f>
        <v>Continue</v>
      </c>
      <c r="BM242" s="113" t="b">
        <f>IF(Audit[[#This Row],[Status - Continue or stop audit]] = "Continue", TRUE, IF(BL241 = "Continue", TRUE, FALSE))</f>
        <v>1</v>
      </c>
      <c r="BN242" s="113"/>
    </row>
    <row r="243" spans="1:66" ht="15" hidden="1" customHeight="1" x14ac:dyDescent="0.35">
      <c r="A243" s="114" t="str">
        <f>'Sampling Data'!AI243</f>
        <v/>
      </c>
      <c r="B243" s="114" t="str">
        <f>'Sampling Data'!A243</f>
        <v>0603 CIN 6-C   (ED)</v>
      </c>
      <c r="C243" s="114">
        <f>'Sampling Data'!B243</f>
        <v>95</v>
      </c>
      <c r="D243" s="114">
        <f>'Sampling Data'!C243</f>
        <v>8</v>
      </c>
      <c r="E243" s="115">
        <f>'Sampling Data'!D243</f>
        <v>7</v>
      </c>
      <c r="F243" s="115">
        <f>'Sampling Data'!E243</f>
        <v>0</v>
      </c>
      <c r="G243" s="115">
        <f>'Sampling Data'!F243</f>
        <v>0</v>
      </c>
      <c r="H243" s="115">
        <f>'Sampling Data'!G243</f>
        <v>0</v>
      </c>
      <c r="I243" s="115">
        <f>'Sampling Data'!H243</f>
        <v>0</v>
      </c>
      <c r="J243" s="115">
        <f>'Sampling Data'!I243</f>
        <v>0</v>
      </c>
      <c r="K243" s="115">
        <f>'Sampling Data'!J243</f>
        <v>0</v>
      </c>
      <c r="L243" s="115">
        <f>'Sampling Data'!K243</f>
        <v>0</v>
      </c>
      <c r="M243" s="115">
        <f>'Sampling Data'!L243</f>
        <v>0</v>
      </c>
      <c r="N243" s="115">
        <f>'Sampling Data'!M243</f>
        <v>0</v>
      </c>
      <c r="O243" s="114">
        <f>'Sampling Data'!N243</f>
        <v>0</v>
      </c>
      <c r="P243" s="114">
        <f>'Sampling Data'!O243</f>
        <v>1</v>
      </c>
      <c r="Q243" s="114">
        <f>'Sampling Data'!P243</f>
        <v>111</v>
      </c>
      <c r="R243" s="114">
        <f>'Sampling Data'!AJ243</f>
        <v>0</v>
      </c>
      <c r="S243" s="116"/>
      <c r="T243" s="116"/>
      <c r="U243" s="117"/>
      <c r="V243" s="117"/>
      <c r="W243" s="116"/>
      <c r="X243" s="116"/>
      <c r="Y243" s="116"/>
      <c r="Z243" s="116"/>
      <c r="AA243" s="15"/>
      <c r="AB243" s="15"/>
      <c r="AC243" s="15"/>
      <c r="AD243" s="15"/>
      <c r="AE243" s="118" t="str">
        <f>IF(NOT(ISBLANK(Audit[[#This Row],[Audit Winning Candidate]])), Audit[[#This Row],[Audit Winning Candidate]]-Audit[[#This Row],[Winning Candidate]], "")</f>
        <v/>
      </c>
      <c r="AF243" s="114" t="str">
        <f>IF(NOT(ISBLANK(Audit[[#This Row],[Audit Losing Candidate]])), Audit[[#This Row],[Audit Losing Candidate]]-Audit[[#This Row],[Losing Candidate]], "")</f>
        <v/>
      </c>
      <c r="AG243" s="114" t="str">
        <f>IF(NOT(ISBLANK(Audit[[#This Row],[Audit Candidate 3]])), Audit[[#This Row],[Audit Candidate 3]]-Audit[[#This Row],[Candidate 3]], "")</f>
        <v/>
      </c>
      <c r="AH243" s="114" t="str">
        <f>IF(NOT(ISBLANK(Audit[[#This Row],[Audit Candidate 4]])),Audit[[#This Row],[Audit Candidate 4]]-Audit[[#This Row],[Candidate 4]], "")</f>
        <v/>
      </c>
      <c r="AI243" s="114" t="str">
        <f>IF(NOT(ISBLANK(Audit[[#This Row],[Audit Candidate 5]])), Audit[[#This Row],[Audit Candidate 5]]-Audit[[#This Row],[Candidate 5]], "")</f>
        <v/>
      </c>
      <c r="AJ243" s="114" t="str">
        <f>IF(NOT(ISBLANK(Audit[[#This Row],[Audit Candidate 6]])), Audit[[#This Row],[Audit Candidate 6]]-Audit[[#This Row],[Candidate 6]], "")</f>
        <v/>
      </c>
      <c r="AK243" s="114" t="str">
        <f>IF(NOT(ISBLANK(Audit[[#This Row],[Audit Candidate 7]])), Audit[[#This Row],[Audit Candidate 7]]-Audit[[#This Row],[Candidate 7]], "")</f>
        <v/>
      </c>
      <c r="AL243" s="114" t="str">
        <f>IF(NOT(ISBLANK(Audit[[#This Row],[Audit Candidate 8]])), Audit[[#This Row],[Audit Candidate 8]]-Audit[[#This Row],[Candidate 8]], "")</f>
        <v/>
      </c>
      <c r="AM243" s="114" t="str">
        <f>IF(NOT(ISBLANK(Audit[[#This Row],[Audit Candidate 9]])), Audit[[#This Row],[Audit Candidate 9]]-Audit[[#This Row],[Candidate 9]], "")</f>
        <v/>
      </c>
      <c r="AN243" s="114" t="str">
        <f>IF(NOT(ISBLANK(Audit[[#This Row],[Audit Candidate 10]])), Audit[[#This Row],[Audit Candidate 10]]-Audit[[#This Row],[Candidate 10]], "")</f>
        <v/>
      </c>
      <c r="AO243" s="114" t="str">
        <f>IF(NOT(ISBLANK(Audit[[#This Row],[Audit Candidate 11]])), Audit[[#This Row],[Audit Candidate 11]]-Audit[[#This Row],[Candidate 11]], "")</f>
        <v/>
      </c>
      <c r="AP243" s="114" t="str">
        <f>IF(NOT(ISBLANK(Audit[[#This Row],[Audit Candidate 12]])), Audit[[#This Row],[Audit Candidate 12]]-Audit[[#This Row],[Candidate 12]], "")</f>
        <v/>
      </c>
      <c r="AQ243" s="114">
        <f>SUMIF(Audit[[#This Row],[Difference Winner]:[Difference Candidate 12]], "&gt;0")</f>
        <v>0</v>
      </c>
      <c r="AR243" s="114">
        <f>SUM(Audit[[#This Row],[Difference Winner]:[Difference Candidate 12]])</f>
        <v>0</v>
      </c>
      <c r="AS243" s="114">
        <f>IF(Audit[[#This Row],[Times p Drawn - With Replacement]]&gt;0, IF(Audit[[#This Row],[Canceled Differences]]&lt;0, Audit[[#This Row],[Max Differences]]+ABS(Audit[[#This Row],[Canceled Differences]]), Audit[[#This Row],[Max Differences]]), 0)</f>
        <v>0</v>
      </c>
      <c r="AT243" s="114">
        <f>'Sampling Data'!AB243</f>
        <v>1.2515011693319006E-2</v>
      </c>
      <c r="AU243" s="114">
        <f>IF(
      SUM(Audit[[#This Row],[Audit Losing Candidate]:[Audit Candidate 12]])
      &lt;&gt;0,
      (Audit[[#This Row],[Winning Candidate]]-Audit[[#This Row],[Losing Candidate]]-(Audit[[#This Row],[Audit Winning Candidate]]-Audit[[#This Row],[Audit Losing Candidate]]))/(Audit[[#Totals],[Winning Candidate]]-Audit[[#Totals],[Losing Candidate]]),
      0
)</f>
        <v>0</v>
      </c>
      <c r="AV2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3" s="114">
        <f>IF(Audit[[#This Row],[Max Relative Error (ep)]] = 0, 0, Audit[[#This Row],[Max Relative Error (ep)]]/Audit[[#This Row],[Error Bound (up) - Max. possible relative overstatement]])</f>
        <v>0</v>
      </c>
      <c r="BH2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3" s="114">
        <f t="shared" si="4"/>
        <v>1</v>
      </c>
      <c r="BJ243" s="114">
        <f>PRODUCT($BI$5:BI243)</f>
        <v>0.20973752198051165</v>
      </c>
      <c r="BK243" s="112">
        <f>1 - Audit[[#This Row],[K-M P Value]]</f>
        <v>0.79026247801948835</v>
      </c>
      <c r="BL243" s="114" t="str">
        <f>IF(Audit[[#This Row],[K-M P Value]]&gt;1-'General Info'!$B$12,"Continue", "Stop")</f>
        <v>Continue</v>
      </c>
      <c r="BM243" s="113" t="b">
        <f>IF(Audit[[#This Row],[Status - Continue or stop audit]] = "Continue", TRUE, IF(BL242 = "Continue", TRUE, FALSE))</f>
        <v>1</v>
      </c>
      <c r="BN243" s="113"/>
    </row>
    <row r="244" spans="1:66" ht="15" hidden="1" customHeight="1" x14ac:dyDescent="0.35">
      <c r="A244" s="114" t="str">
        <f>'Sampling Data'!AI244</f>
        <v/>
      </c>
      <c r="B244" s="114" t="str">
        <f>'Sampling Data'!A244</f>
        <v>0604 CIN 6-D   (ED)</v>
      </c>
      <c r="C244" s="114">
        <f>'Sampling Data'!B244</f>
        <v>143</v>
      </c>
      <c r="D244" s="114">
        <f>'Sampling Data'!C244</f>
        <v>2</v>
      </c>
      <c r="E244" s="115">
        <f>'Sampling Data'!D244</f>
        <v>4</v>
      </c>
      <c r="F244" s="115">
        <f>'Sampling Data'!E244</f>
        <v>0</v>
      </c>
      <c r="G244" s="115">
        <f>'Sampling Data'!F244</f>
        <v>0</v>
      </c>
      <c r="H244" s="115">
        <f>'Sampling Data'!G244</f>
        <v>0</v>
      </c>
      <c r="I244" s="115">
        <f>'Sampling Data'!H244</f>
        <v>0</v>
      </c>
      <c r="J244" s="115">
        <f>'Sampling Data'!I244</f>
        <v>0</v>
      </c>
      <c r="K244" s="115">
        <f>'Sampling Data'!J244</f>
        <v>0</v>
      </c>
      <c r="L244" s="115">
        <f>'Sampling Data'!K244</f>
        <v>0</v>
      </c>
      <c r="M244" s="115">
        <f>'Sampling Data'!L244</f>
        <v>0</v>
      </c>
      <c r="N244" s="115">
        <f>'Sampling Data'!M244</f>
        <v>0</v>
      </c>
      <c r="O244" s="114">
        <f>'Sampling Data'!N244</f>
        <v>0</v>
      </c>
      <c r="P244" s="114">
        <f>'Sampling Data'!O244</f>
        <v>1</v>
      </c>
      <c r="Q244" s="114">
        <f>'Sampling Data'!P244</f>
        <v>150</v>
      </c>
      <c r="R244" s="114">
        <f>'Sampling Data'!AJ244</f>
        <v>0</v>
      </c>
      <c r="S244" s="116"/>
      <c r="T244" s="116"/>
      <c r="U244" s="117"/>
      <c r="V244" s="117"/>
      <c r="W244" s="116"/>
      <c r="X244" s="116"/>
      <c r="Y244" s="116"/>
      <c r="Z244" s="116"/>
      <c r="AA244" s="15"/>
      <c r="AB244" s="15"/>
      <c r="AC244" s="15"/>
      <c r="AD244" s="15"/>
      <c r="AE244" s="118" t="str">
        <f>IF(NOT(ISBLANK(Audit[[#This Row],[Audit Winning Candidate]])), Audit[[#This Row],[Audit Winning Candidate]]-Audit[[#This Row],[Winning Candidate]], "")</f>
        <v/>
      </c>
      <c r="AF244" s="114" t="str">
        <f>IF(NOT(ISBLANK(Audit[[#This Row],[Audit Losing Candidate]])), Audit[[#This Row],[Audit Losing Candidate]]-Audit[[#This Row],[Losing Candidate]], "")</f>
        <v/>
      </c>
      <c r="AG244" s="114" t="str">
        <f>IF(NOT(ISBLANK(Audit[[#This Row],[Audit Candidate 3]])), Audit[[#This Row],[Audit Candidate 3]]-Audit[[#This Row],[Candidate 3]], "")</f>
        <v/>
      </c>
      <c r="AH244" s="114" t="str">
        <f>IF(NOT(ISBLANK(Audit[[#This Row],[Audit Candidate 4]])),Audit[[#This Row],[Audit Candidate 4]]-Audit[[#This Row],[Candidate 4]], "")</f>
        <v/>
      </c>
      <c r="AI244" s="114" t="str">
        <f>IF(NOT(ISBLANK(Audit[[#This Row],[Audit Candidate 5]])), Audit[[#This Row],[Audit Candidate 5]]-Audit[[#This Row],[Candidate 5]], "")</f>
        <v/>
      </c>
      <c r="AJ244" s="114" t="str">
        <f>IF(NOT(ISBLANK(Audit[[#This Row],[Audit Candidate 6]])), Audit[[#This Row],[Audit Candidate 6]]-Audit[[#This Row],[Candidate 6]], "")</f>
        <v/>
      </c>
      <c r="AK244" s="114" t="str">
        <f>IF(NOT(ISBLANK(Audit[[#This Row],[Audit Candidate 7]])), Audit[[#This Row],[Audit Candidate 7]]-Audit[[#This Row],[Candidate 7]], "")</f>
        <v/>
      </c>
      <c r="AL244" s="114" t="str">
        <f>IF(NOT(ISBLANK(Audit[[#This Row],[Audit Candidate 8]])), Audit[[#This Row],[Audit Candidate 8]]-Audit[[#This Row],[Candidate 8]], "")</f>
        <v/>
      </c>
      <c r="AM244" s="114" t="str">
        <f>IF(NOT(ISBLANK(Audit[[#This Row],[Audit Candidate 9]])), Audit[[#This Row],[Audit Candidate 9]]-Audit[[#This Row],[Candidate 9]], "")</f>
        <v/>
      </c>
      <c r="AN244" s="114" t="str">
        <f>IF(NOT(ISBLANK(Audit[[#This Row],[Audit Candidate 10]])), Audit[[#This Row],[Audit Candidate 10]]-Audit[[#This Row],[Candidate 10]], "")</f>
        <v/>
      </c>
      <c r="AO244" s="114" t="str">
        <f>IF(NOT(ISBLANK(Audit[[#This Row],[Audit Candidate 11]])), Audit[[#This Row],[Audit Candidate 11]]-Audit[[#This Row],[Candidate 11]], "")</f>
        <v/>
      </c>
      <c r="AP244" s="114" t="str">
        <f>IF(NOT(ISBLANK(Audit[[#This Row],[Audit Candidate 12]])), Audit[[#This Row],[Audit Candidate 12]]-Audit[[#This Row],[Candidate 12]], "")</f>
        <v/>
      </c>
      <c r="AQ244" s="114">
        <f>SUMIF(Audit[[#This Row],[Difference Winner]:[Difference Candidate 12]], "&gt;0")</f>
        <v>0</v>
      </c>
      <c r="AR244" s="114">
        <f>SUM(Audit[[#This Row],[Difference Winner]:[Difference Candidate 12]])</f>
        <v>0</v>
      </c>
      <c r="AS244" s="114">
        <f>IF(Audit[[#This Row],[Times p Drawn - With Replacement]]&gt;0, IF(Audit[[#This Row],[Canceled Differences]]&lt;0, Audit[[#This Row],[Max Differences]]+ABS(Audit[[#This Row],[Canceled Differences]]), Audit[[#This Row],[Max Differences]]), 0)</f>
        <v>0</v>
      </c>
      <c r="AT244" s="114">
        <f>'Sampling Data'!AB244</f>
        <v>1.8393274761393085E-2</v>
      </c>
      <c r="AU244" s="114">
        <f>IF(
      SUM(Audit[[#This Row],[Audit Losing Candidate]:[Audit Candidate 12]])
      &lt;&gt;0,
      (Audit[[#This Row],[Winning Candidate]]-Audit[[#This Row],[Losing Candidate]]-(Audit[[#This Row],[Audit Winning Candidate]]-Audit[[#This Row],[Audit Losing Candidate]]))/(Audit[[#Totals],[Winning Candidate]]-Audit[[#Totals],[Losing Candidate]]),
      0
)</f>
        <v>0</v>
      </c>
      <c r="AV2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4" s="114">
        <f>IF(Audit[[#This Row],[Max Relative Error (ep)]] = 0, 0, Audit[[#This Row],[Max Relative Error (ep)]]/Audit[[#This Row],[Error Bound (up) - Max. possible relative overstatement]])</f>
        <v>0</v>
      </c>
      <c r="BH2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4" s="114">
        <f t="shared" si="4"/>
        <v>1</v>
      </c>
      <c r="BJ244" s="114">
        <f>PRODUCT($BI$5:BI244)</f>
        <v>0.20973752198051165</v>
      </c>
      <c r="BK244" s="112">
        <f>1 - Audit[[#This Row],[K-M P Value]]</f>
        <v>0.79026247801948835</v>
      </c>
      <c r="BL244" s="114" t="str">
        <f>IF(Audit[[#This Row],[K-M P Value]]&gt;1-'General Info'!$B$12,"Continue", "Stop")</f>
        <v>Continue</v>
      </c>
      <c r="BM244" s="113" t="b">
        <f>IF(Audit[[#This Row],[Status - Continue or stop audit]] = "Continue", TRUE, IF(BL243 = "Continue", TRUE, FALSE))</f>
        <v>1</v>
      </c>
      <c r="BN244" s="113"/>
    </row>
    <row r="245" spans="1:66" ht="15" hidden="1" customHeight="1" x14ac:dyDescent="0.35">
      <c r="A245" s="114" t="str">
        <f>'Sampling Data'!AI245</f>
        <v/>
      </c>
      <c r="B245" s="114" t="str">
        <f>'Sampling Data'!A245</f>
        <v>0605 CIN 6-E   (ED)</v>
      </c>
      <c r="C245" s="114">
        <f>'Sampling Data'!B245</f>
        <v>117</v>
      </c>
      <c r="D245" s="114">
        <f>'Sampling Data'!C245</f>
        <v>6</v>
      </c>
      <c r="E245" s="115">
        <f>'Sampling Data'!D245</f>
        <v>5</v>
      </c>
      <c r="F245" s="115">
        <f>'Sampling Data'!E245</f>
        <v>0</v>
      </c>
      <c r="G245" s="115">
        <f>'Sampling Data'!F245</f>
        <v>0</v>
      </c>
      <c r="H245" s="115">
        <f>'Sampling Data'!G245</f>
        <v>0</v>
      </c>
      <c r="I245" s="115">
        <f>'Sampling Data'!H245</f>
        <v>0</v>
      </c>
      <c r="J245" s="115">
        <f>'Sampling Data'!I245</f>
        <v>0</v>
      </c>
      <c r="K245" s="115">
        <f>'Sampling Data'!J245</f>
        <v>0</v>
      </c>
      <c r="L245" s="115">
        <f>'Sampling Data'!K245</f>
        <v>0</v>
      </c>
      <c r="M245" s="115">
        <f>'Sampling Data'!L245</f>
        <v>0</v>
      </c>
      <c r="N245" s="115">
        <f>'Sampling Data'!M245</f>
        <v>0</v>
      </c>
      <c r="O245" s="114">
        <f>'Sampling Data'!N245</f>
        <v>0</v>
      </c>
      <c r="P245" s="114">
        <f>'Sampling Data'!O245</f>
        <v>1</v>
      </c>
      <c r="Q245" s="114">
        <f>'Sampling Data'!P245</f>
        <v>129</v>
      </c>
      <c r="R245" s="114">
        <f>'Sampling Data'!AJ245</f>
        <v>0</v>
      </c>
      <c r="S245" s="116"/>
      <c r="T245" s="116"/>
      <c r="U245" s="117"/>
      <c r="V245" s="117"/>
      <c r="W245" s="116"/>
      <c r="X245" s="116"/>
      <c r="Y245" s="116"/>
      <c r="Z245" s="116"/>
      <c r="AA245" s="15"/>
      <c r="AB245" s="15"/>
      <c r="AC245" s="15"/>
      <c r="AD245" s="15"/>
      <c r="AE245" s="118" t="str">
        <f>IF(NOT(ISBLANK(Audit[[#This Row],[Audit Winning Candidate]])), Audit[[#This Row],[Audit Winning Candidate]]-Audit[[#This Row],[Winning Candidate]], "")</f>
        <v/>
      </c>
      <c r="AF245" s="114" t="str">
        <f>IF(NOT(ISBLANK(Audit[[#This Row],[Audit Losing Candidate]])), Audit[[#This Row],[Audit Losing Candidate]]-Audit[[#This Row],[Losing Candidate]], "")</f>
        <v/>
      </c>
      <c r="AG245" s="114" t="str">
        <f>IF(NOT(ISBLANK(Audit[[#This Row],[Audit Candidate 3]])), Audit[[#This Row],[Audit Candidate 3]]-Audit[[#This Row],[Candidate 3]], "")</f>
        <v/>
      </c>
      <c r="AH245" s="114" t="str">
        <f>IF(NOT(ISBLANK(Audit[[#This Row],[Audit Candidate 4]])),Audit[[#This Row],[Audit Candidate 4]]-Audit[[#This Row],[Candidate 4]], "")</f>
        <v/>
      </c>
      <c r="AI245" s="114" t="str">
        <f>IF(NOT(ISBLANK(Audit[[#This Row],[Audit Candidate 5]])), Audit[[#This Row],[Audit Candidate 5]]-Audit[[#This Row],[Candidate 5]], "")</f>
        <v/>
      </c>
      <c r="AJ245" s="114" t="str">
        <f>IF(NOT(ISBLANK(Audit[[#This Row],[Audit Candidate 6]])), Audit[[#This Row],[Audit Candidate 6]]-Audit[[#This Row],[Candidate 6]], "")</f>
        <v/>
      </c>
      <c r="AK245" s="114" t="str">
        <f>IF(NOT(ISBLANK(Audit[[#This Row],[Audit Candidate 7]])), Audit[[#This Row],[Audit Candidate 7]]-Audit[[#This Row],[Candidate 7]], "")</f>
        <v/>
      </c>
      <c r="AL245" s="114" t="str">
        <f>IF(NOT(ISBLANK(Audit[[#This Row],[Audit Candidate 8]])), Audit[[#This Row],[Audit Candidate 8]]-Audit[[#This Row],[Candidate 8]], "")</f>
        <v/>
      </c>
      <c r="AM245" s="114" t="str">
        <f>IF(NOT(ISBLANK(Audit[[#This Row],[Audit Candidate 9]])), Audit[[#This Row],[Audit Candidate 9]]-Audit[[#This Row],[Candidate 9]], "")</f>
        <v/>
      </c>
      <c r="AN245" s="114" t="str">
        <f>IF(NOT(ISBLANK(Audit[[#This Row],[Audit Candidate 10]])), Audit[[#This Row],[Audit Candidate 10]]-Audit[[#This Row],[Candidate 10]], "")</f>
        <v/>
      </c>
      <c r="AO245" s="114" t="str">
        <f>IF(NOT(ISBLANK(Audit[[#This Row],[Audit Candidate 11]])), Audit[[#This Row],[Audit Candidate 11]]-Audit[[#This Row],[Candidate 11]], "")</f>
        <v/>
      </c>
      <c r="AP245" s="114" t="str">
        <f>IF(NOT(ISBLANK(Audit[[#This Row],[Audit Candidate 12]])), Audit[[#This Row],[Audit Candidate 12]]-Audit[[#This Row],[Candidate 12]], "")</f>
        <v/>
      </c>
      <c r="AQ245" s="114">
        <f>SUMIF(Audit[[#This Row],[Difference Winner]:[Difference Candidate 12]], "&gt;0")</f>
        <v>0</v>
      </c>
      <c r="AR245" s="114">
        <f>SUM(Audit[[#This Row],[Difference Winner]:[Difference Candidate 12]])</f>
        <v>0</v>
      </c>
      <c r="AS245" s="114">
        <f>IF(Audit[[#This Row],[Times p Drawn - With Replacement]]&gt;0, IF(Audit[[#This Row],[Canceled Differences]]&lt;0, Audit[[#This Row],[Max Differences]]+ABS(Audit[[#This Row],[Canceled Differences]]), Audit[[#This Row],[Max Differences]]), 0)</f>
        <v>0</v>
      </c>
      <c r="AT245" s="114">
        <f>'Sampling Data'!AB245</f>
        <v>1.5169711143416977E-2</v>
      </c>
      <c r="AU245" s="114">
        <f>IF(
      SUM(Audit[[#This Row],[Audit Losing Candidate]:[Audit Candidate 12]])
      &lt;&gt;0,
      (Audit[[#This Row],[Winning Candidate]]-Audit[[#This Row],[Losing Candidate]]-(Audit[[#This Row],[Audit Winning Candidate]]-Audit[[#This Row],[Audit Losing Candidate]]))/(Audit[[#Totals],[Winning Candidate]]-Audit[[#Totals],[Losing Candidate]]),
      0
)</f>
        <v>0</v>
      </c>
      <c r="AV2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5" s="114">
        <f>IF(Audit[[#This Row],[Max Relative Error (ep)]] = 0, 0, Audit[[#This Row],[Max Relative Error (ep)]]/Audit[[#This Row],[Error Bound (up) - Max. possible relative overstatement]])</f>
        <v>0</v>
      </c>
      <c r="BH2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5" s="114">
        <f t="shared" si="4"/>
        <v>1</v>
      </c>
      <c r="BJ245" s="114">
        <f>PRODUCT($BI$5:BI245)</f>
        <v>0.20973752198051165</v>
      </c>
      <c r="BK245" s="112">
        <f>1 - Audit[[#This Row],[K-M P Value]]</f>
        <v>0.79026247801948835</v>
      </c>
      <c r="BL245" s="114" t="str">
        <f>IF(Audit[[#This Row],[K-M P Value]]&gt;1-'General Info'!$B$12,"Continue", "Stop")</f>
        <v>Continue</v>
      </c>
      <c r="BM245" s="113" t="b">
        <f>IF(Audit[[#This Row],[Status - Continue or stop audit]] = "Continue", TRUE, IF(BL244 = "Continue", TRUE, FALSE))</f>
        <v>1</v>
      </c>
      <c r="BN245" s="113"/>
    </row>
    <row r="246" spans="1:66" ht="15" hidden="1" customHeight="1" x14ac:dyDescent="0.35">
      <c r="A246" s="114" t="str">
        <f>'Sampling Data'!AI246</f>
        <v/>
      </c>
      <c r="B246" s="114" t="str">
        <f>'Sampling Data'!A246</f>
        <v>0701 CIN 7-A   (ED)</v>
      </c>
      <c r="C246" s="114">
        <f>'Sampling Data'!B246</f>
        <v>109</v>
      </c>
      <c r="D246" s="114">
        <f>'Sampling Data'!C246</f>
        <v>3</v>
      </c>
      <c r="E246" s="115">
        <f>'Sampling Data'!D246</f>
        <v>2</v>
      </c>
      <c r="F246" s="115">
        <f>'Sampling Data'!E246</f>
        <v>0</v>
      </c>
      <c r="G246" s="115">
        <f>'Sampling Data'!F246</f>
        <v>0</v>
      </c>
      <c r="H246" s="115">
        <f>'Sampling Data'!G246</f>
        <v>0</v>
      </c>
      <c r="I246" s="115">
        <f>'Sampling Data'!H246</f>
        <v>0</v>
      </c>
      <c r="J246" s="115">
        <f>'Sampling Data'!I246</f>
        <v>0</v>
      </c>
      <c r="K246" s="115">
        <f>'Sampling Data'!J246</f>
        <v>0</v>
      </c>
      <c r="L246" s="115">
        <f>'Sampling Data'!K246</f>
        <v>0</v>
      </c>
      <c r="M246" s="115">
        <f>'Sampling Data'!L246</f>
        <v>0</v>
      </c>
      <c r="N246" s="115">
        <f>'Sampling Data'!M246</f>
        <v>0</v>
      </c>
      <c r="O246" s="114">
        <f>'Sampling Data'!N246</f>
        <v>0</v>
      </c>
      <c r="P246" s="114">
        <f>'Sampling Data'!O246</f>
        <v>1</v>
      </c>
      <c r="Q246" s="114">
        <f>'Sampling Data'!P246</f>
        <v>115</v>
      </c>
      <c r="R246" s="114">
        <f>'Sampling Data'!AJ246</f>
        <v>0</v>
      </c>
      <c r="S246" s="116"/>
      <c r="T246" s="116"/>
      <c r="U246" s="117"/>
      <c r="V246" s="117"/>
      <c r="W246" s="116"/>
      <c r="X246" s="116"/>
      <c r="Y246" s="116"/>
      <c r="Z246" s="116"/>
      <c r="AA246" s="15"/>
      <c r="AB246" s="15"/>
      <c r="AC246" s="15"/>
      <c r="AD246" s="15"/>
      <c r="AE246" s="118" t="str">
        <f>IF(NOT(ISBLANK(Audit[[#This Row],[Audit Winning Candidate]])), Audit[[#This Row],[Audit Winning Candidate]]-Audit[[#This Row],[Winning Candidate]], "")</f>
        <v/>
      </c>
      <c r="AF246" s="114" t="str">
        <f>IF(NOT(ISBLANK(Audit[[#This Row],[Audit Losing Candidate]])), Audit[[#This Row],[Audit Losing Candidate]]-Audit[[#This Row],[Losing Candidate]], "")</f>
        <v/>
      </c>
      <c r="AG246" s="114" t="str">
        <f>IF(NOT(ISBLANK(Audit[[#This Row],[Audit Candidate 3]])), Audit[[#This Row],[Audit Candidate 3]]-Audit[[#This Row],[Candidate 3]], "")</f>
        <v/>
      </c>
      <c r="AH246" s="114" t="str">
        <f>IF(NOT(ISBLANK(Audit[[#This Row],[Audit Candidate 4]])),Audit[[#This Row],[Audit Candidate 4]]-Audit[[#This Row],[Candidate 4]], "")</f>
        <v/>
      </c>
      <c r="AI246" s="114" t="str">
        <f>IF(NOT(ISBLANK(Audit[[#This Row],[Audit Candidate 5]])), Audit[[#This Row],[Audit Candidate 5]]-Audit[[#This Row],[Candidate 5]], "")</f>
        <v/>
      </c>
      <c r="AJ246" s="114" t="str">
        <f>IF(NOT(ISBLANK(Audit[[#This Row],[Audit Candidate 6]])), Audit[[#This Row],[Audit Candidate 6]]-Audit[[#This Row],[Candidate 6]], "")</f>
        <v/>
      </c>
      <c r="AK246" s="114" t="str">
        <f>IF(NOT(ISBLANK(Audit[[#This Row],[Audit Candidate 7]])), Audit[[#This Row],[Audit Candidate 7]]-Audit[[#This Row],[Candidate 7]], "")</f>
        <v/>
      </c>
      <c r="AL246" s="114" t="str">
        <f>IF(NOT(ISBLANK(Audit[[#This Row],[Audit Candidate 8]])), Audit[[#This Row],[Audit Candidate 8]]-Audit[[#This Row],[Candidate 8]], "")</f>
        <v/>
      </c>
      <c r="AM246" s="114" t="str">
        <f>IF(NOT(ISBLANK(Audit[[#This Row],[Audit Candidate 9]])), Audit[[#This Row],[Audit Candidate 9]]-Audit[[#This Row],[Candidate 9]], "")</f>
        <v/>
      </c>
      <c r="AN246" s="114" t="str">
        <f>IF(NOT(ISBLANK(Audit[[#This Row],[Audit Candidate 10]])), Audit[[#This Row],[Audit Candidate 10]]-Audit[[#This Row],[Candidate 10]], "")</f>
        <v/>
      </c>
      <c r="AO246" s="114" t="str">
        <f>IF(NOT(ISBLANK(Audit[[#This Row],[Audit Candidate 11]])), Audit[[#This Row],[Audit Candidate 11]]-Audit[[#This Row],[Candidate 11]], "")</f>
        <v/>
      </c>
      <c r="AP246" s="114" t="str">
        <f>IF(NOT(ISBLANK(Audit[[#This Row],[Audit Candidate 12]])), Audit[[#This Row],[Audit Candidate 12]]-Audit[[#This Row],[Candidate 12]], "")</f>
        <v/>
      </c>
      <c r="AQ246" s="114">
        <f>SUMIF(Audit[[#This Row],[Difference Winner]:[Difference Candidate 12]], "&gt;0")</f>
        <v>0</v>
      </c>
      <c r="AR246" s="114">
        <f>SUM(Audit[[#This Row],[Difference Winner]:[Difference Candidate 12]])</f>
        <v>0</v>
      </c>
      <c r="AS246" s="114">
        <f>IF(Audit[[#This Row],[Times p Drawn - With Replacement]]&gt;0, IF(Audit[[#This Row],[Canceled Differences]]&lt;0, Audit[[#This Row],[Max Differences]]+ABS(Audit[[#This Row],[Canceled Differences]]), Audit[[#This Row],[Max Differences]]), 0)</f>
        <v>0</v>
      </c>
      <c r="AT246" s="114">
        <f>'Sampling Data'!AB246</f>
        <v>1.3968775677896467E-2</v>
      </c>
      <c r="AU246" s="114">
        <f>IF(
      SUM(Audit[[#This Row],[Audit Losing Candidate]:[Audit Candidate 12]])
      &lt;&gt;0,
      (Audit[[#This Row],[Winning Candidate]]-Audit[[#This Row],[Losing Candidate]]-(Audit[[#This Row],[Audit Winning Candidate]]-Audit[[#This Row],[Audit Losing Candidate]]))/(Audit[[#Totals],[Winning Candidate]]-Audit[[#Totals],[Losing Candidate]]),
      0
)</f>
        <v>0</v>
      </c>
      <c r="AV2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6" s="114">
        <f>IF(Audit[[#This Row],[Max Relative Error (ep)]] = 0, 0, Audit[[#This Row],[Max Relative Error (ep)]]/Audit[[#This Row],[Error Bound (up) - Max. possible relative overstatement]])</f>
        <v>0</v>
      </c>
      <c r="BH2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6" s="114">
        <f t="shared" si="4"/>
        <v>1</v>
      </c>
      <c r="BJ246" s="114">
        <f>PRODUCT($BI$5:BI246)</f>
        <v>0.20973752198051165</v>
      </c>
      <c r="BK246" s="112">
        <f>1 - Audit[[#This Row],[K-M P Value]]</f>
        <v>0.79026247801948835</v>
      </c>
      <c r="BL246" s="114" t="str">
        <f>IF(Audit[[#This Row],[K-M P Value]]&gt;1-'General Info'!$B$12,"Continue", "Stop")</f>
        <v>Continue</v>
      </c>
      <c r="BM246" s="113" t="b">
        <f>IF(Audit[[#This Row],[Status - Continue or stop audit]] = "Continue", TRUE, IF(BL245 = "Continue", TRUE, FALSE))</f>
        <v>1</v>
      </c>
      <c r="BN246" s="113"/>
    </row>
    <row r="247" spans="1:66" ht="15" hidden="1" customHeight="1" x14ac:dyDescent="0.35">
      <c r="A247" s="114" t="str">
        <f>'Sampling Data'!AI247</f>
        <v/>
      </c>
      <c r="B247" s="114" t="str">
        <f>'Sampling Data'!A247</f>
        <v>0702 CIN 7-B   (ED)</v>
      </c>
      <c r="C247" s="114">
        <f>'Sampling Data'!B247</f>
        <v>27</v>
      </c>
      <c r="D247" s="114">
        <f>'Sampling Data'!C247</f>
        <v>3</v>
      </c>
      <c r="E247" s="115">
        <f>'Sampling Data'!D247</f>
        <v>1</v>
      </c>
      <c r="F247" s="115">
        <f>'Sampling Data'!E247</f>
        <v>0</v>
      </c>
      <c r="G247" s="115">
        <f>'Sampling Data'!F247</f>
        <v>0</v>
      </c>
      <c r="H247" s="115">
        <f>'Sampling Data'!G247</f>
        <v>0</v>
      </c>
      <c r="I247" s="115">
        <f>'Sampling Data'!H247</f>
        <v>0</v>
      </c>
      <c r="J247" s="115">
        <f>'Sampling Data'!I247</f>
        <v>0</v>
      </c>
      <c r="K247" s="115">
        <f>'Sampling Data'!J247</f>
        <v>0</v>
      </c>
      <c r="L247" s="115">
        <f>'Sampling Data'!K247</f>
        <v>0</v>
      </c>
      <c r="M247" s="115">
        <f>'Sampling Data'!L247</f>
        <v>0</v>
      </c>
      <c r="N247" s="115">
        <f>'Sampling Data'!M247</f>
        <v>0</v>
      </c>
      <c r="O247" s="114">
        <f>'Sampling Data'!N247</f>
        <v>0</v>
      </c>
      <c r="P247" s="114">
        <f>'Sampling Data'!O247</f>
        <v>0</v>
      </c>
      <c r="Q247" s="114">
        <f>'Sampling Data'!P247</f>
        <v>31</v>
      </c>
      <c r="R247" s="114">
        <f>'Sampling Data'!AJ247</f>
        <v>0</v>
      </c>
      <c r="S247" s="116"/>
      <c r="T247" s="116"/>
      <c r="U247" s="117"/>
      <c r="V247" s="117"/>
      <c r="W247" s="116"/>
      <c r="X247" s="116"/>
      <c r="Y247" s="116"/>
      <c r="Z247" s="116"/>
      <c r="AA247" s="15"/>
      <c r="AB247" s="15"/>
      <c r="AC247" s="15"/>
      <c r="AD247" s="15"/>
      <c r="AE247" s="118" t="str">
        <f>IF(NOT(ISBLANK(Audit[[#This Row],[Audit Winning Candidate]])), Audit[[#This Row],[Audit Winning Candidate]]-Audit[[#This Row],[Winning Candidate]], "")</f>
        <v/>
      </c>
      <c r="AF247" s="114" t="str">
        <f>IF(NOT(ISBLANK(Audit[[#This Row],[Audit Losing Candidate]])), Audit[[#This Row],[Audit Losing Candidate]]-Audit[[#This Row],[Losing Candidate]], "")</f>
        <v/>
      </c>
      <c r="AG247" s="114" t="str">
        <f>IF(NOT(ISBLANK(Audit[[#This Row],[Audit Candidate 3]])), Audit[[#This Row],[Audit Candidate 3]]-Audit[[#This Row],[Candidate 3]], "")</f>
        <v/>
      </c>
      <c r="AH247" s="114" t="str">
        <f>IF(NOT(ISBLANK(Audit[[#This Row],[Audit Candidate 4]])),Audit[[#This Row],[Audit Candidate 4]]-Audit[[#This Row],[Candidate 4]], "")</f>
        <v/>
      </c>
      <c r="AI247" s="114" t="str">
        <f>IF(NOT(ISBLANK(Audit[[#This Row],[Audit Candidate 5]])), Audit[[#This Row],[Audit Candidate 5]]-Audit[[#This Row],[Candidate 5]], "")</f>
        <v/>
      </c>
      <c r="AJ247" s="114" t="str">
        <f>IF(NOT(ISBLANK(Audit[[#This Row],[Audit Candidate 6]])), Audit[[#This Row],[Audit Candidate 6]]-Audit[[#This Row],[Candidate 6]], "")</f>
        <v/>
      </c>
      <c r="AK247" s="114" t="str">
        <f>IF(NOT(ISBLANK(Audit[[#This Row],[Audit Candidate 7]])), Audit[[#This Row],[Audit Candidate 7]]-Audit[[#This Row],[Candidate 7]], "")</f>
        <v/>
      </c>
      <c r="AL247" s="114" t="str">
        <f>IF(NOT(ISBLANK(Audit[[#This Row],[Audit Candidate 8]])), Audit[[#This Row],[Audit Candidate 8]]-Audit[[#This Row],[Candidate 8]], "")</f>
        <v/>
      </c>
      <c r="AM247" s="114" t="str">
        <f>IF(NOT(ISBLANK(Audit[[#This Row],[Audit Candidate 9]])), Audit[[#This Row],[Audit Candidate 9]]-Audit[[#This Row],[Candidate 9]], "")</f>
        <v/>
      </c>
      <c r="AN247" s="114" t="str">
        <f>IF(NOT(ISBLANK(Audit[[#This Row],[Audit Candidate 10]])), Audit[[#This Row],[Audit Candidate 10]]-Audit[[#This Row],[Candidate 10]], "")</f>
        <v/>
      </c>
      <c r="AO247" s="114" t="str">
        <f>IF(NOT(ISBLANK(Audit[[#This Row],[Audit Candidate 11]])), Audit[[#This Row],[Audit Candidate 11]]-Audit[[#This Row],[Candidate 11]], "")</f>
        <v/>
      </c>
      <c r="AP247" s="114" t="str">
        <f>IF(NOT(ISBLANK(Audit[[#This Row],[Audit Candidate 12]])), Audit[[#This Row],[Audit Candidate 12]]-Audit[[#This Row],[Candidate 12]], "")</f>
        <v/>
      </c>
      <c r="AQ247" s="114">
        <f>SUMIF(Audit[[#This Row],[Difference Winner]:[Difference Candidate 12]], "&gt;0")</f>
        <v>0</v>
      </c>
      <c r="AR247" s="114">
        <f>SUM(Audit[[#This Row],[Difference Winner]:[Difference Candidate 12]])</f>
        <v>0</v>
      </c>
      <c r="AS247" s="114">
        <f>IF(Audit[[#This Row],[Times p Drawn - With Replacement]]&gt;0, IF(Audit[[#This Row],[Canceled Differences]]&lt;0, Audit[[#This Row],[Max Differences]]+ABS(Audit[[#This Row],[Canceled Differences]]), Audit[[#This Row],[Max Differences]]), 0)</f>
        <v>0</v>
      </c>
      <c r="AT247" s="114">
        <f>'Sampling Data'!AB247</f>
        <v>3.4763921370330572E-3</v>
      </c>
      <c r="AU247" s="114">
        <f>IF(
      SUM(Audit[[#This Row],[Audit Losing Candidate]:[Audit Candidate 12]])
      &lt;&gt;0,
      (Audit[[#This Row],[Winning Candidate]]-Audit[[#This Row],[Losing Candidate]]-(Audit[[#This Row],[Audit Winning Candidate]]-Audit[[#This Row],[Audit Losing Candidate]]))/(Audit[[#Totals],[Winning Candidate]]-Audit[[#Totals],[Losing Candidate]]),
      0
)</f>
        <v>0</v>
      </c>
      <c r="AV2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7" s="114">
        <f>IF(Audit[[#This Row],[Max Relative Error (ep)]] = 0, 0, Audit[[#This Row],[Max Relative Error (ep)]]/Audit[[#This Row],[Error Bound (up) - Max. possible relative overstatement]])</f>
        <v>0</v>
      </c>
      <c r="BH2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7" s="114">
        <f t="shared" si="4"/>
        <v>1</v>
      </c>
      <c r="BJ247" s="114">
        <f>PRODUCT($BI$5:BI247)</f>
        <v>0.20973752198051165</v>
      </c>
      <c r="BK247" s="112">
        <f>1 - Audit[[#This Row],[K-M P Value]]</f>
        <v>0.79026247801948835</v>
      </c>
      <c r="BL247" s="114" t="str">
        <f>IF(Audit[[#This Row],[K-M P Value]]&gt;1-'General Info'!$B$12,"Continue", "Stop")</f>
        <v>Continue</v>
      </c>
      <c r="BM247" s="113" t="b">
        <f>IF(Audit[[#This Row],[Status - Continue or stop audit]] = "Continue", TRUE, IF(BL246 = "Continue", TRUE, FALSE))</f>
        <v>1</v>
      </c>
      <c r="BN247" s="113"/>
    </row>
    <row r="248" spans="1:66" ht="15" hidden="1" customHeight="1" x14ac:dyDescent="0.35">
      <c r="A248" s="114" t="str">
        <f>'Sampling Data'!AI248</f>
        <v/>
      </c>
      <c r="B248" s="114" t="str">
        <f>'Sampling Data'!A248</f>
        <v>0703 CIN 7-C   (ED)</v>
      </c>
      <c r="C248" s="114">
        <f>'Sampling Data'!B248</f>
        <v>140</v>
      </c>
      <c r="D248" s="114">
        <f>'Sampling Data'!C248</f>
        <v>0</v>
      </c>
      <c r="E248" s="115">
        <f>'Sampling Data'!D248</f>
        <v>1</v>
      </c>
      <c r="F248" s="115">
        <f>'Sampling Data'!E248</f>
        <v>0</v>
      </c>
      <c r="G248" s="115">
        <f>'Sampling Data'!F248</f>
        <v>0</v>
      </c>
      <c r="H248" s="115">
        <f>'Sampling Data'!G248</f>
        <v>0</v>
      </c>
      <c r="I248" s="115">
        <f>'Sampling Data'!H248</f>
        <v>0</v>
      </c>
      <c r="J248" s="115">
        <f>'Sampling Data'!I248</f>
        <v>0</v>
      </c>
      <c r="K248" s="115">
        <f>'Sampling Data'!J248</f>
        <v>0</v>
      </c>
      <c r="L248" s="115">
        <f>'Sampling Data'!K248</f>
        <v>0</v>
      </c>
      <c r="M248" s="115">
        <f>'Sampling Data'!L248</f>
        <v>0</v>
      </c>
      <c r="N248" s="115">
        <f>'Sampling Data'!M248</f>
        <v>0</v>
      </c>
      <c r="O248" s="114">
        <f>'Sampling Data'!N248</f>
        <v>0</v>
      </c>
      <c r="P248" s="114">
        <f>'Sampling Data'!O248</f>
        <v>0</v>
      </c>
      <c r="Q248" s="114">
        <f>'Sampling Data'!P248</f>
        <v>141</v>
      </c>
      <c r="R248" s="114">
        <f>'Sampling Data'!AJ248</f>
        <v>0</v>
      </c>
      <c r="S248" s="116"/>
      <c r="T248" s="116"/>
      <c r="U248" s="117"/>
      <c r="V248" s="117"/>
      <c r="W248" s="116"/>
      <c r="X248" s="116"/>
      <c r="Y248" s="116"/>
      <c r="Z248" s="116"/>
      <c r="AA248" s="15"/>
      <c r="AB248" s="15"/>
      <c r="AC248" s="15"/>
      <c r="AD248" s="15"/>
      <c r="AE248" s="118" t="str">
        <f>IF(NOT(ISBLANK(Audit[[#This Row],[Audit Winning Candidate]])), Audit[[#This Row],[Audit Winning Candidate]]-Audit[[#This Row],[Winning Candidate]], "")</f>
        <v/>
      </c>
      <c r="AF248" s="114" t="str">
        <f>IF(NOT(ISBLANK(Audit[[#This Row],[Audit Losing Candidate]])), Audit[[#This Row],[Audit Losing Candidate]]-Audit[[#This Row],[Losing Candidate]], "")</f>
        <v/>
      </c>
      <c r="AG248" s="114" t="str">
        <f>IF(NOT(ISBLANK(Audit[[#This Row],[Audit Candidate 3]])), Audit[[#This Row],[Audit Candidate 3]]-Audit[[#This Row],[Candidate 3]], "")</f>
        <v/>
      </c>
      <c r="AH248" s="114" t="str">
        <f>IF(NOT(ISBLANK(Audit[[#This Row],[Audit Candidate 4]])),Audit[[#This Row],[Audit Candidate 4]]-Audit[[#This Row],[Candidate 4]], "")</f>
        <v/>
      </c>
      <c r="AI248" s="114" t="str">
        <f>IF(NOT(ISBLANK(Audit[[#This Row],[Audit Candidate 5]])), Audit[[#This Row],[Audit Candidate 5]]-Audit[[#This Row],[Candidate 5]], "")</f>
        <v/>
      </c>
      <c r="AJ248" s="114" t="str">
        <f>IF(NOT(ISBLANK(Audit[[#This Row],[Audit Candidate 6]])), Audit[[#This Row],[Audit Candidate 6]]-Audit[[#This Row],[Candidate 6]], "")</f>
        <v/>
      </c>
      <c r="AK248" s="114" t="str">
        <f>IF(NOT(ISBLANK(Audit[[#This Row],[Audit Candidate 7]])), Audit[[#This Row],[Audit Candidate 7]]-Audit[[#This Row],[Candidate 7]], "")</f>
        <v/>
      </c>
      <c r="AL248" s="114" t="str">
        <f>IF(NOT(ISBLANK(Audit[[#This Row],[Audit Candidate 8]])), Audit[[#This Row],[Audit Candidate 8]]-Audit[[#This Row],[Candidate 8]], "")</f>
        <v/>
      </c>
      <c r="AM248" s="114" t="str">
        <f>IF(NOT(ISBLANK(Audit[[#This Row],[Audit Candidate 9]])), Audit[[#This Row],[Audit Candidate 9]]-Audit[[#This Row],[Candidate 9]], "")</f>
        <v/>
      </c>
      <c r="AN248" s="114" t="str">
        <f>IF(NOT(ISBLANK(Audit[[#This Row],[Audit Candidate 10]])), Audit[[#This Row],[Audit Candidate 10]]-Audit[[#This Row],[Candidate 10]], "")</f>
        <v/>
      </c>
      <c r="AO248" s="114" t="str">
        <f>IF(NOT(ISBLANK(Audit[[#This Row],[Audit Candidate 11]])), Audit[[#This Row],[Audit Candidate 11]]-Audit[[#This Row],[Candidate 11]], "")</f>
        <v/>
      </c>
      <c r="AP248" s="114" t="str">
        <f>IF(NOT(ISBLANK(Audit[[#This Row],[Audit Candidate 12]])), Audit[[#This Row],[Audit Candidate 12]]-Audit[[#This Row],[Candidate 12]], "")</f>
        <v/>
      </c>
      <c r="AQ248" s="114">
        <f>SUMIF(Audit[[#This Row],[Difference Winner]:[Difference Candidate 12]], "&gt;0")</f>
        <v>0</v>
      </c>
      <c r="AR248" s="114">
        <f>SUM(Audit[[#This Row],[Difference Winner]:[Difference Candidate 12]])</f>
        <v>0</v>
      </c>
      <c r="AS248" s="114">
        <f>IF(Audit[[#This Row],[Times p Drawn - With Replacement]]&gt;0, IF(Audit[[#This Row],[Canceled Differences]]&lt;0, Audit[[#This Row],[Max Differences]]+ABS(Audit[[#This Row],[Canceled Differences]]), Audit[[#This Row],[Max Differences]]), 0)</f>
        <v>0</v>
      </c>
      <c r="AT248" s="114">
        <f>'Sampling Data'!AB248</f>
        <v>1.7761203463750711E-2</v>
      </c>
      <c r="AU248" s="114">
        <f>IF(
      SUM(Audit[[#This Row],[Audit Losing Candidate]:[Audit Candidate 12]])
      &lt;&gt;0,
      (Audit[[#This Row],[Winning Candidate]]-Audit[[#This Row],[Losing Candidate]]-(Audit[[#This Row],[Audit Winning Candidate]]-Audit[[#This Row],[Audit Losing Candidate]]))/(Audit[[#Totals],[Winning Candidate]]-Audit[[#Totals],[Losing Candidate]]),
      0
)</f>
        <v>0</v>
      </c>
      <c r="AV2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8" s="114">
        <f>IF(Audit[[#This Row],[Max Relative Error (ep)]] = 0, 0, Audit[[#This Row],[Max Relative Error (ep)]]/Audit[[#This Row],[Error Bound (up) - Max. possible relative overstatement]])</f>
        <v>0</v>
      </c>
      <c r="BH2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8" s="114">
        <f t="shared" si="4"/>
        <v>1</v>
      </c>
      <c r="BJ248" s="114">
        <f>PRODUCT($BI$5:BI248)</f>
        <v>0.20973752198051165</v>
      </c>
      <c r="BK248" s="112">
        <f>1 - Audit[[#This Row],[K-M P Value]]</f>
        <v>0.79026247801948835</v>
      </c>
      <c r="BL248" s="114" t="str">
        <f>IF(Audit[[#This Row],[K-M P Value]]&gt;1-'General Info'!$B$12,"Continue", "Stop")</f>
        <v>Continue</v>
      </c>
      <c r="BM248" s="113" t="b">
        <f>IF(Audit[[#This Row],[Status - Continue or stop audit]] = "Continue", TRUE, IF(BL247 = "Continue", TRUE, FALSE))</f>
        <v>1</v>
      </c>
      <c r="BN248" s="113"/>
    </row>
    <row r="249" spans="1:66" ht="15" hidden="1" customHeight="1" x14ac:dyDescent="0.35">
      <c r="A249" s="114" t="str">
        <f>'Sampling Data'!AI249</f>
        <v/>
      </c>
      <c r="B249" s="114" t="str">
        <f>'Sampling Data'!A249</f>
        <v>0704 CIN 7-D   (ED)</v>
      </c>
      <c r="C249" s="114">
        <f>'Sampling Data'!B249</f>
        <v>48</v>
      </c>
      <c r="D249" s="114">
        <f>'Sampling Data'!C249</f>
        <v>3</v>
      </c>
      <c r="E249" s="115">
        <f>'Sampling Data'!D249</f>
        <v>1</v>
      </c>
      <c r="F249" s="115">
        <f>'Sampling Data'!E249</f>
        <v>0</v>
      </c>
      <c r="G249" s="115">
        <f>'Sampling Data'!F249</f>
        <v>0</v>
      </c>
      <c r="H249" s="115">
        <f>'Sampling Data'!G249</f>
        <v>0</v>
      </c>
      <c r="I249" s="115">
        <f>'Sampling Data'!H249</f>
        <v>0</v>
      </c>
      <c r="J249" s="115">
        <f>'Sampling Data'!I249</f>
        <v>0</v>
      </c>
      <c r="K249" s="115">
        <f>'Sampling Data'!J249</f>
        <v>0</v>
      </c>
      <c r="L249" s="115">
        <f>'Sampling Data'!K249</f>
        <v>0</v>
      </c>
      <c r="M249" s="115">
        <f>'Sampling Data'!L249</f>
        <v>0</v>
      </c>
      <c r="N249" s="115">
        <f>'Sampling Data'!M249</f>
        <v>0</v>
      </c>
      <c r="O249" s="114">
        <f>'Sampling Data'!N249</f>
        <v>0</v>
      </c>
      <c r="P249" s="114">
        <f>'Sampling Data'!O249</f>
        <v>0</v>
      </c>
      <c r="Q249" s="114">
        <f>'Sampling Data'!P249</f>
        <v>52</v>
      </c>
      <c r="R249" s="114">
        <f>'Sampling Data'!AJ249</f>
        <v>0</v>
      </c>
      <c r="S249" s="116"/>
      <c r="T249" s="116"/>
      <c r="U249" s="117"/>
      <c r="V249" s="117"/>
      <c r="W249" s="116"/>
      <c r="X249" s="116"/>
      <c r="Y249" s="116"/>
      <c r="Z249" s="116"/>
      <c r="AA249" s="15"/>
      <c r="AB249" s="15"/>
      <c r="AC249" s="15"/>
      <c r="AD249" s="15"/>
      <c r="AE249" s="118" t="str">
        <f>IF(NOT(ISBLANK(Audit[[#This Row],[Audit Winning Candidate]])), Audit[[#This Row],[Audit Winning Candidate]]-Audit[[#This Row],[Winning Candidate]], "")</f>
        <v/>
      </c>
      <c r="AF249" s="114" t="str">
        <f>IF(NOT(ISBLANK(Audit[[#This Row],[Audit Losing Candidate]])), Audit[[#This Row],[Audit Losing Candidate]]-Audit[[#This Row],[Losing Candidate]], "")</f>
        <v/>
      </c>
      <c r="AG249" s="114" t="str">
        <f>IF(NOT(ISBLANK(Audit[[#This Row],[Audit Candidate 3]])), Audit[[#This Row],[Audit Candidate 3]]-Audit[[#This Row],[Candidate 3]], "")</f>
        <v/>
      </c>
      <c r="AH249" s="114" t="str">
        <f>IF(NOT(ISBLANK(Audit[[#This Row],[Audit Candidate 4]])),Audit[[#This Row],[Audit Candidate 4]]-Audit[[#This Row],[Candidate 4]], "")</f>
        <v/>
      </c>
      <c r="AI249" s="114" t="str">
        <f>IF(NOT(ISBLANK(Audit[[#This Row],[Audit Candidate 5]])), Audit[[#This Row],[Audit Candidate 5]]-Audit[[#This Row],[Candidate 5]], "")</f>
        <v/>
      </c>
      <c r="AJ249" s="114" t="str">
        <f>IF(NOT(ISBLANK(Audit[[#This Row],[Audit Candidate 6]])), Audit[[#This Row],[Audit Candidate 6]]-Audit[[#This Row],[Candidate 6]], "")</f>
        <v/>
      </c>
      <c r="AK249" s="114" t="str">
        <f>IF(NOT(ISBLANK(Audit[[#This Row],[Audit Candidate 7]])), Audit[[#This Row],[Audit Candidate 7]]-Audit[[#This Row],[Candidate 7]], "")</f>
        <v/>
      </c>
      <c r="AL249" s="114" t="str">
        <f>IF(NOT(ISBLANK(Audit[[#This Row],[Audit Candidate 8]])), Audit[[#This Row],[Audit Candidate 8]]-Audit[[#This Row],[Candidate 8]], "")</f>
        <v/>
      </c>
      <c r="AM249" s="114" t="str">
        <f>IF(NOT(ISBLANK(Audit[[#This Row],[Audit Candidate 9]])), Audit[[#This Row],[Audit Candidate 9]]-Audit[[#This Row],[Candidate 9]], "")</f>
        <v/>
      </c>
      <c r="AN249" s="114" t="str">
        <f>IF(NOT(ISBLANK(Audit[[#This Row],[Audit Candidate 10]])), Audit[[#This Row],[Audit Candidate 10]]-Audit[[#This Row],[Candidate 10]], "")</f>
        <v/>
      </c>
      <c r="AO249" s="114" t="str">
        <f>IF(NOT(ISBLANK(Audit[[#This Row],[Audit Candidate 11]])), Audit[[#This Row],[Audit Candidate 11]]-Audit[[#This Row],[Candidate 11]], "")</f>
        <v/>
      </c>
      <c r="AP249" s="114" t="str">
        <f>IF(NOT(ISBLANK(Audit[[#This Row],[Audit Candidate 12]])), Audit[[#This Row],[Audit Candidate 12]]-Audit[[#This Row],[Candidate 12]], "")</f>
        <v/>
      </c>
      <c r="AQ249" s="114">
        <f>SUMIF(Audit[[#This Row],[Difference Winner]:[Difference Candidate 12]], "&gt;0")</f>
        <v>0</v>
      </c>
      <c r="AR249" s="114">
        <f>SUM(Audit[[#This Row],[Difference Winner]:[Difference Candidate 12]])</f>
        <v>0</v>
      </c>
      <c r="AS249" s="114">
        <f>IF(Audit[[#This Row],[Times p Drawn - With Replacement]]&gt;0, IF(Audit[[#This Row],[Canceled Differences]]&lt;0, Audit[[#This Row],[Max Differences]]+ABS(Audit[[#This Row],[Canceled Differences]]), Audit[[#This Row],[Max Differences]]), 0)</f>
        <v>0</v>
      </c>
      <c r="AT249" s="114">
        <f>'Sampling Data'!AB249</f>
        <v>6.1310915871310287E-3</v>
      </c>
      <c r="AU249" s="114">
        <f>IF(
      SUM(Audit[[#This Row],[Audit Losing Candidate]:[Audit Candidate 12]])
      &lt;&gt;0,
      (Audit[[#This Row],[Winning Candidate]]-Audit[[#This Row],[Losing Candidate]]-(Audit[[#This Row],[Audit Winning Candidate]]-Audit[[#This Row],[Audit Losing Candidate]]))/(Audit[[#Totals],[Winning Candidate]]-Audit[[#Totals],[Losing Candidate]]),
      0
)</f>
        <v>0</v>
      </c>
      <c r="AV2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9" s="114">
        <f>IF(Audit[[#This Row],[Max Relative Error (ep)]] = 0, 0, Audit[[#This Row],[Max Relative Error (ep)]]/Audit[[#This Row],[Error Bound (up) - Max. possible relative overstatement]])</f>
        <v>0</v>
      </c>
      <c r="BH2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49" s="114">
        <f t="shared" si="4"/>
        <v>1</v>
      </c>
      <c r="BJ249" s="114">
        <f>PRODUCT($BI$5:BI249)</f>
        <v>0.20973752198051165</v>
      </c>
      <c r="BK249" s="112">
        <f>1 - Audit[[#This Row],[K-M P Value]]</f>
        <v>0.79026247801948835</v>
      </c>
      <c r="BL249" s="114" t="str">
        <f>IF(Audit[[#This Row],[K-M P Value]]&gt;1-'General Info'!$B$12,"Continue", "Stop")</f>
        <v>Continue</v>
      </c>
      <c r="BM249" s="113" t="b">
        <f>IF(Audit[[#This Row],[Status - Continue or stop audit]] = "Continue", TRUE, IF(BL248 = "Continue", TRUE, FALSE))</f>
        <v>1</v>
      </c>
      <c r="BN249" s="113"/>
    </row>
    <row r="250" spans="1:66" ht="15" hidden="1" customHeight="1" x14ac:dyDescent="0.35">
      <c r="A250" s="114" t="str">
        <f>'Sampling Data'!AI250</f>
        <v/>
      </c>
      <c r="B250" s="114" t="str">
        <f>'Sampling Data'!A250</f>
        <v>0705 CIN 7-E   (ED)</v>
      </c>
      <c r="C250" s="114">
        <f>'Sampling Data'!B250</f>
        <v>45</v>
      </c>
      <c r="D250" s="114">
        <f>'Sampling Data'!C250</f>
        <v>2</v>
      </c>
      <c r="E250" s="115">
        <f>'Sampling Data'!D250</f>
        <v>1</v>
      </c>
      <c r="F250" s="115">
        <f>'Sampling Data'!E250</f>
        <v>0</v>
      </c>
      <c r="G250" s="115">
        <f>'Sampling Data'!F250</f>
        <v>0</v>
      </c>
      <c r="H250" s="115">
        <f>'Sampling Data'!G250</f>
        <v>0</v>
      </c>
      <c r="I250" s="115">
        <f>'Sampling Data'!H250</f>
        <v>0</v>
      </c>
      <c r="J250" s="115">
        <f>'Sampling Data'!I250</f>
        <v>0</v>
      </c>
      <c r="K250" s="115">
        <f>'Sampling Data'!J250</f>
        <v>0</v>
      </c>
      <c r="L250" s="115">
        <f>'Sampling Data'!K250</f>
        <v>0</v>
      </c>
      <c r="M250" s="115">
        <f>'Sampling Data'!L250</f>
        <v>0</v>
      </c>
      <c r="N250" s="115">
        <f>'Sampling Data'!M250</f>
        <v>0</v>
      </c>
      <c r="O250" s="114">
        <f>'Sampling Data'!N250</f>
        <v>0</v>
      </c>
      <c r="P250" s="114">
        <f>'Sampling Data'!O250</f>
        <v>0</v>
      </c>
      <c r="Q250" s="114">
        <f>'Sampling Data'!P250</f>
        <v>48</v>
      </c>
      <c r="R250" s="114">
        <f>'Sampling Data'!AJ250</f>
        <v>0</v>
      </c>
      <c r="S250" s="116"/>
      <c r="T250" s="116"/>
      <c r="U250" s="117"/>
      <c r="V250" s="117"/>
      <c r="W250" s="116"/>
      <c r="X250" s="116"/>
      <c r="Y250" s="116"/>
      <c r="Z250" s="116"/>
      <c r="AA250" s="15"/>
      <c r="AB250" s="15"/>
      <c r="AC250" s="15"/>
      <c r="AD250" s="15"/>
      <c r="AE250" s="118" t="str">
        <f>IF(NOT(ISBLANK(Audit[[#This Row],[Audit Winning Candidate]])), Audit[[#This Row],[Audit Winning Candidate]]-Audit[[#This Row],[Winning Candidate]], "")</f>
        <v/>
      </c>
      <c r="AF250" s="114" t="str">
        <f>IF(NOT(ISBLANK(Audit[[#This Row],[Audit Losing Candidate]])), Audit[[#This Row],[Audit Losing Candidate]]-Audit[[#This Row],[Losing Candidate]], "")</f>
        <v/>
      </c>
      <c r="AG250" s="114" t="str">
        <f>IF(NOT(ISBLANK(Audit[[#This Row],[Audit Candidate 3]])), Audit[[#This Row],[Audit Candidate 3]]-Audit[[#This Row],[Candidate 3]], "")</f>
        <v/>
      </c>
      <c r="AH250" s="114" t="str">
        <f>IF(NOT(ISBLANK(Audit[[#This Row],[Audit Candidate 4]])),Audit[[#This Row],[Audit Candidate 4]]-Audit[[#This Row],[Candidate 4]], "")</f>
        <v/>
      </c>
      <c r="AI250" s="114" t="str">
        <f>IF(NOT(ISBLANK(Audit[[#This Row],[Audit Candidate 5]])), Audit[[#This Row],[Audit Candidate 5]]-Audit[[#This Row],[Candidate 5]], "")</f>
        <v/>
      </c>
      <c r="AJ250" s="114" t="str">
        <f>IF(NOT(ISBLANK(Audit[[#This Row],[Audit Candidate 6]])), Audit[[#This Row],[Audit Candidate 6]]-Audit[[#This Row],[Candidate 6]], "")</f>
        <v/>
      </c>
      <c r="AK250" s="114" t="str">
        <f>IF(NOT(ISBLANK(Audit[[#This Row],[Audit Candidate 7]])), Audit[[#This Row],[Audit Candidate 7]]-Audit[[#This Row],[Candidate 7]], "")</f>
        <v/>
      </c>
      <c r="AL250" s="114" t="str">
        <f>IF(NOT(ISBLANK(Audit[[#This Row],[Audit Candidate 8]])), Audit[[#This Row],[Audit Candidate 8]]-Audit[[#This Row],[Candidate 8]], "")</f>
        <v/>
      </c>
      <c r="AM250" s="114" t="str">
        <f>IF(NOT(ISBLANK(Audit[[#This Row],[Audit Candidate 9]])), Audit[[#This Row],[Audit Candidate 9]]-Audit[[#This Row],[Candidate 9]], "")</f>
        <v/>
      </c>
      <c r="AN250" s="114" t="str">
        <f>IF(NOT(ISBLANK(Audit[[#This Row],[Audit Candidate 10]])), Audit[[#This Row],[Audit Candidate 10]]-Audit[[#This Row],[Candidate 10]], "")</f>
        <v/>
      </c>
      <c r="AO250" s="114" t="str">
        <f>IF(NOT(ISBLANK(Audit[[#This Row],[Audit Candidate 11]])), Audit[[#This Row],[Audit Candidate 11]]-Audit[[#This Row],[Candidate 11]], "")</f>
        <v/>
      </c>
      <c r="AP250" s="114" t="str">
        <f>IF(NOT(ISBLANK(Audit[[#This Row],[Audit Candidate 12]])), Audit[[#This Row],[Audit Candidate 12]]-Audit[[#This Row],[Candidate 12]], "")</f>
        <v/>
      </c>
      <c r="AQ250" s="114">
        <f>SUMIF(Audit[[#This Row],[Difference Winner]:[Difference Candidate 12]], "&gt;0")</f>
        <v>0</v>
      </c>
      <c r="AR250" s="114">
        <f>SUM(Audit[[#This Row],[Difference Winner]:[Difference Candidate 12]])</f>
        <v>0</v>
      </c>
      <c r="AS250" s="114">
        <f>IF(Audit[[#This Row],[Times p Drawn - With Replacement]]&gt;0, IF(Audit[[#This Row],[Canceled Differences]]&lt;0, Audit[[#This Row],[Max Differences]]+ABS(Audit[[#This Row],[Canceled Differences]]), Audit[[#This Row],[Max Differences]]), 0)</f>
        <v>0</v>
      </c>
      <c r="AT250" s="114">
        <f>'Sampling Data'!AB250</f>
        <v>5.7518488085456041E-3</v>
      </c>
      <c r="AU250" s="114">
        <f>IF(
      SUM(Audit[[#This Row],[Audit Losing Candidate]:[Audit Candidate 12]])
      &lt;&gt;0,
      (Audit[[#This Row],[Winning Candidate]]-Audit[[#This Row],[Losing Candidate]]-(Audit[[#This Row],[Audit Winning Candidate]]-Audit[[#This Row],[Audit Losing Candidate]]))/(Audit[[#Totals],[Winning Candidate]]-Audit[[#Totals],[Losing Candidate]]),
      0
)</f>
        <v>0</v>
      </c>
      <c r="AV2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0" s="114">
        <f>IF(Audit[[#This Row],[Max Relative Error (ep)]] = 0, 0, Audit[[#This Row],[Max Relative Error (ep)]]/Audit[[#This Row],[Error Bound (up) - Max. possible relative overstatement]])</f>
        <v>0</v>
      </c>
      <c r="BH2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0" s="114">
        <f t="shared" si="4"/>
        <v>1</v>
      </c>
      <c r="BJ250" s="114">
        <f>PRODUCT($BI$5:BI250)</f>
        <v>0.20973752198051165</v>
      </c>
      <c r="BK250" s="112">
        <f>1 - Audit[[#This Row],[K-M P Value]]</f>
        <v>0.79026247801948835</v>
      </c>
      <c r="BL250" s="114" t="str">
        <f>IF(Audit[[#This Row],[K-M P Value]]&gt;1-'General Info'!$B$12,"Continue", "Stop")</f>
        <v>Continue</v>
      </c>
      <c r="BM250" s="113" t="b">
        <f>IF(Audit[[#This Row],[Status - Continue or stop audit]] = "Continue", TRUE, IF(BL249 = "Continue", TRUE, FALSE))</f>
        <v>1</v>
      </c>
      <c r="BN250" s="113"/>
    </row>
    <row r="251" spans="1:66" ht="15" hidden="1" customHeight="1" x14ac:dyDescent="0.35">
      <c r="A251" s="114" t="str">
        <f>'Sampling Data'!AI251</f>
        <v/>
      </c>
      <c r="B251" s="114" t="str">
        <f>'Sampling Data'!A251</f>
        <v>0706 CIN 7-F   (ED)</v>
      </c>
      <c r="C251" s="114">
        <f>'Sampling Data'!B251</f>
        <v>72</v>
      </c>
      <c r="D251" s="114">
        <f>'Sampling Data'!C251</f>
        <v>1</v>
      </c>
      <c r="E251" s="115">
        <f>'Sampling Data'!D251</f>
        <v>0</v>
      </c>
      <c r="F251" s="115">
        <f>'Sampling Data'!E251</f>
        <v>0</v>
      </c>
      <c r="G251" s="115">
        <f>'Sampling Data'!F251</f>
        <v>0</v>
      </c>
      <c r="H251" s="115">
        <f>'Sampling Data'!G251</f>
        <v>0</v>
      </c>
      <c r="I251" s="115">
        <f>'Sampling Data'!H251</f>
        <v>0</v>
      </c>
      <c r="J251" s="115">
        <f>'Sampling Data'!I251</f>
        <v>0</v>
      </c>
      <c r="K251" s="115">
        <f>'Sampling Data'!J251</f>
        <v>0</v>
      </c>
      <c r="L251" s="115">
        <f>'Sampling Data'!K251</f>
        <v>0</v>
      </c>
      <c r="M251" s="115">
        <f>'Sampling Data'!L251</f>
        <v>0</v>
      </c>
      <c r="N251" s="115">
        <f>'Sampling Data'!M251</f>
        <v>0</v>
      </c>
      <c r="O251" s="114">
        <f>'Sampling Data'!N251</f>
        <v>0</v>
      </c>
      <c r="P251" s="114">
        <f>'Sampling Data'!O251</f>
        <v>0</v>
      </c>
      <c r="Q251" s="114">
        <f>'Sampling Data'!P251</f>
        <v>73</v>
      </c>
      <c r="R251" s="114">
        <f>'Sampling Data'!AJ251</f>
        <v>0</v>
      </c>
      <c r="S251" s="116"/>
      <c r="T251" s="116"/>
      <c r="U251" s="117"/>
      <c r="V251" s="117"/>
      <c r="W251" s="116"/>
      <c r="X251" s="116"/>
      <c r="Y251" s="116"/>
      <c r="Z251" s="116"/>
      <c r="AA251" s="15"/>
      <c r="AB251" s="15"/>
      <c r="AC251" s="15"/>
      <c r="AD251" s="15"/>
      <c r="AE251" s="118" t="str">
        <f>IF(NOT(ISBLANK(Audit[[#This Row],[Audit Winning Candidate]])), Audit[[#This Row],[Audit Winning Candidate]]-Audit[[#This Row],[Winning Candidate]], "")</f>
        <v/>
      </c>
      <c r="AF251" s="114" t="str">
        <f>IF(NOT(ISBLANK(Audit[[#This Row],[Audit Losing Candidate]])), Audit[[#This Row],[Audit Losing Candidate]]-Audit[[#This Row],[Losing Candidate]], "")</f>
        <v/>
      </c>
      <c r="AG251" s="114" t="str">
        <f>IF(NOT(ISBLANK(Audit[[#This Row],[Audit Candidate 3]])), Audit[[#This Row],[Audit Candidate 3]]-Audit[[#This Row],[Candidate 3]], "")</f>
        <v/>
      </c>
      <c r="AH251" s="114" t="str">
        <f>IF(NOT(ISBLANK(Audit[[#This Row],[Audit Candidate 4]])),Audit[[#This Row],[Audit Candidate 4]]-Audit[[#This Row],[Candidate 4]], "")</f>
        <v/>
      </c>
      <c r="AI251" s="114" t="str">
        <f>IF(NOT(ISBLANK(Audit[[#This Row],[Audit Candidate 5]])), Audit[[#This Row],[Audit Candidate 5]]-Audit[[#This Row],[Candidate 5]], "")</f>
        <v/>
      </c>
      <c r="AJ251" s="114" t="str">
        <f>IF(NOT(ISBLANK(Audit[[#This Row],[Audit Candidate 6]])), Audit[[#This Row],[Audit Candidate 6]]-Audit[[#This Row],[Candidate 6]], "")</f>
        <v/>
      </c>
      <c r="AK251" s="114" t="str">
        <f>IF(NOT(ISBLANK(Audit[[#This Row],[Audit Candidate 7]])), Audit[[#This Row],[Audit Candidate 7]]-Audit[[#This Row],[Candidate 7]], "")</f>
        <v/>
      </c>
      <c r="AL251" s="114" t="str">
        <f>IF(NOT(ISBLANK(Audit[[#This Row],[Audit Candidate 8]])), Audit[[#This Row],[Audit Candidate 8]]-Audit[[#This Row],[Candidate 8]], "")</f>
        <v/>
      </c>
      <c r="AM251" s="114" t="str">
        <f>IF(NOT(ISBLANK(Audit[[#This Row],[Audit Candidate 9]])), Audit[[#This Row],[Audit Candidate 9]]-Audit[[#This Row],[Candidate 9]], "")</f>
        <v/>
      </c>
      <c r="AN251" s="114" t="str">
        <f>IF(NOT(ISBLANK(Audit[[#This Row],[Audit Candidate 10]])), Audit[[#This Row],[Audit Candidate 10]]-Audit[[#This Row],[Candidate 10]], "")</f>
        <v/>
      </c>
      <c r="AO251" s="114" t="str">
        <f>IF(NOT(ISBLANK(Audit[[#This Row],[Audit Candidate 11]])), Audit[[#This Row],[Audit Candidate 11]]-Audit[[#This Row],[Candidate 11]], "")</f>
        <v/>
      </c>
      <c r="AP251" s="114" t="str">
        <f>IF(NOT(ISBLANK(Audit[[#This Row],[Audit Candidate 12]])), Audit[[#This Row],[Audit Candidate 12]]-Audit[[#This Row],[Candidate 12]], "")</f>
        <v/>
      </c>
      <c r="AQ251" s="114">
        <f>SUMIF(Audit[[#This Row],[Difference Winner]:[Difference Candidate 12]], "&gt;0")</f>
        <v>0</v>
      </c>
      <c r="AR251" s="114">
        <f>SUM(Audit[[#This Row],[Difference Winner]:[Difference Candidate 12]])</f>
        <v>0</v>
      </c>
      <c r="AS251" s="114">
        <f>IF(Audit[[#This Row],[Times p Drawn - With Replacement]]&gt;0, IF(Audit[[#This Row],[Canceled Differences]]&lt;0, Audit[[#This Row],[Max Differences]]+ABS(Audit[[#This Row],[Canceled Differences]]), Audit[[#This Row],[Max Differences]]), 0)</f>
        <v>0</v>
      </c>
      <c r="AT251" s="114">
        <f>'Sampling Data'!AB251</f>
        <v>9.1018266860501858E-3</v>
      </c>
      <c r="AU251" s="114">
        <f>IF(
      SUM(Audit[[#This Row],[Audit Losing Candidate]:[Audit Candidate 12]])
      &lt;&gt;0,
      (Audit[[#This Row],[Winning Candidate]]-Audit[[#This Row],[Losing Candidate]]-(Audit[[#This Row],[Audit Winning Candidate]]-Audit[[#This Row],[Audit Losing Candidate]]))/(Audit[[#Totals],[Winning Candidate]]-Audit[[#Totals],[Losing Candidate]]),
      0
)</f>
        <v>0</v>
      </c>
      <c r="AV2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1" s="114">
        <f>IF(Audit[[#This Row],[Max Relative Error (ep)]] = 0, 0, Audit[[#This Row],[Max Relative Error (ep)]]/Audit[[#This Row],[Error Bound (up) - Max. possible relative overstatement]])</f>
        <v>0</v>
      </c>
      <c r="BH2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1" s="114">
        <f t="shared" si="4"/>
        <v>1</v>
      </c>
      <c r="BJ251" s="114">
        <f>PRODUCT($BI$5:BI251)</f>
        <v>0.20973752198051165</v>
      </c>
      <c r="BK251" s="112">
        <f>1 - Audit[[#This Row],[K-M P Value]]</f>
        <v>0.79026247801948835</v>
      </c>
      <c r="BL251" s="114" t="str">
        <f>IF(Audit[[#This Row],[K-M P Value]]&gt;1-'General Info'!$B$12,"Continue", "Stop")</f>
        <v>Continue</v>
      </c>
      <c r="BM251" s="113" t="b">
        <f>IF(Audit[[#This Row],[Status - Continue or stop audit]] = "Continue", TRUE, IF(BL250 = "Continue", TRUE, FALSE))</f>
        <v>1</v>
      </c>
      <c r="BN251" s="113"/>
    </row>
    <row r="252" spans="1:66" ht="15" hidden="1" customHeight="1" x14ac:dyDescent="0.35">
      <c r="A252" s="114" t="str">
        <f>'Sampling Data'!AI252</f>
        <v/>
      </c>
      <c r="B252" s="114" t="str">
        <f>'Sampling Data'!A252</f>
        <v>0707 CIN 7-G   (ED)</v>
      </c>
      <c r="C252" s="114">
        <f>'Sampling Data'!B252</f>
        <v>85</v>
      </c>
      <c r="D252" s="114">
        <f>'Sampling Data'!C252</f>
        <v>5</v>
      </c>
      <c r="E252" s="115">
        <f>'Sampling Data'!D252</f>
        <v>1</v>
      </c>
      <c r="F252" s="115">
        <f>'Sampling Data'!E252</f>
        <v>0</v>
      </c>
      <c r="G252" s="115">
        <f>'Sampling Data'!F252</f>
        <v>0</v>
      </c>
      <c r="H252" s="115">
        <f>'Sampling Data'!G252</f>
        <v>0</v>
      </c>
      <c r="I252" s="115">
        <f>'Sampling Data'!H252</f>
        <v>0</v>
      </c>
      <c r="J252" s="115">
        <f>'Sampling Data'!I252</f>
        <v>0</v>
      </c>
      <c r="K252" s="115">
        <f>'Sampling Data'!J252</f>
        <v>0</v>
      </c>
      <c r="L252" s="115">
        <f>'Sampling Data'!K252</f>
        <v>0</v>
      </c>
      <c r="M252" s="115">
        <f>'Sampling Data'!L252</f>
        <v>0</v>
      </c>
      <c r="N252" s="115">
        <f>'Sampling Data'!M252</f>
        <v>0</v>
      </c>
      <c r="O252" s="114">
        <f>'Sampling Data'!N252</f>
        <v>0</v>
      </c>
      <c r="P252" s="114">
        <f>'Sampling Data'!O252</f>
        <v>0</v>
      </c>
      <c r="Q252" s="114">
        <f>'Sampling Data'!P252</f>
        <v>91</v>
      </c>
      <c r="R252" s="114">
        <f>'Sampling Data'!AJ252</f>
        <v>0</v>
      </c>
      <c r="S252" s="116"/>
      <c r="T252" s="116"/>
      <c r="U252" s="117"/>
      <c r="V252" s="117"/>
      <c r="W252" s="116"/>
      <c r="X252" s="116"/>
      <c r="Y252" s="116"/>
      <c r="Z252" s="116"/>
      <c r="AA252" s="15"/>
      <c r="AB252" s="15"/>
      <c r="AC252" s="15"/>
      <c r="AD252" s="15"/>
      <c r="AE252" s="118" t="str">
        <f>IF(NOT(ISBLANK(Audit[[#This Row],[Audit Winning Candidate]])), Audit[[#This Row],[Audit Winning Candidate]]-Audit[[#This Row],[Winning Candidate]], "")</f>
        <v/>
      </c>
      <c r="AF252" s="114" t="str">
        <f>IF(NOT(ISBLANK(Audit[[#This Row],[Audit Losing Candidate]])), Audit[[#This Row],[Audit Losing Candidate]]-Audit[[#This Row],[Losing Candidate]], "")</f>
        <v/>
      </c>
      <c r="AG252" s="114" t="str">
        <f>IF(NOT(ISBLANK(Audit[[#This Row],[Audit Candidate 3]])), Audit[[#This Row],[Audit Candidate 3]]-Audit[[#This Row],[Candidate 3]], "")</f>
        <v/>
      </c>
      <c r="AH252" s="114" t="str">
        <f>IF(NOT(ISBLANK(Audit[[#This Row],[Audit Candidate 4]])),Audit[[#This Row],[Audit Candidate 4]]-Audit[[#This Row],[Candidate 4]], "")</f>
        <v/>
      </c>
      <c r="AI252" s="114" t="str">
        <f>IF(NOT(ISBLANK(Audit[[#This Row],[Audit Candidate 5]])), Audit[[#This Row],[Audit Candidate 5]]-Audit[[#This Row],[Candidate 5]], "")</f>
        <v/>
      </c>
      <c r="AJ252" s="114" t="str">
        <f>IF(NOT(ISBLANK(Audit[[#This Row],[Audit Candidate 6]])), Audit[[#This Row],[Audit Candidate 6]]-Audit[[#This Row],[Candidate 6]], "")</f>
        <v/>
      </c>
      <c r="AK252" s="114" t="str">
        <f>IF(NOT(ISBLANK(Audit[[#This Row],[Audit Candidate 7]])), Audit[[#This Row],[Audit Candidate 7]]-Audit[[#This Row],[Candidate 7]], "")</f>
        <v/>
      </c>
      <c r="AL252" s="114" t="str">
        <f>IF(NOT(ISBLANK(Audit[[#This Row],[Audit Candidate 8]])), Audit[[#This Row],[Audit Candidate 8]]-Audit[[#This Row],[Candidate 8]], "")</f>
        <v/>
      </c>
      <c r="AM252" s="114" t="str">
        <f>IF(NOT(ISBLANK(Audit[[#This Row],[Audit Candidate 9]])), Audit[[#This Row],[Audit Candidate 9]]-Audit[[#This Row],[Candidate 9]], "")</f>
        <v/>
      </c>
      <c r="AN252" s="114" t="str">
        <f>IF(NOT(ISBLANK(Audit[[#This Row],[Audit Candidate 10]])), Audit[[#This Row],[Audit Candidate 10]]-Audit[[#This Row],[Candidate 10]], "")</f>
        <v/>
      </c>
      <c r="AO252" s="114" t="str">
        <f>IF(NOT(ISBLANK(Audit[[#This Row],[Audit Candidate 11]])), Audit[[#This Row],[Audit Candidate 11]]-Audit[[#This Row],[Candidate 11]], "")</f>
        <v/>
      </c>
      <c r="AP252" s="114" t="str">
        <f>IF(NOT(ISBLANK(Audit[[#This Row],[Audit Candidate 12]])), Audit[[#This Row],[Audit Candidate 12]]-Audit[[#This Row],[Candidate 12]], "")</f>
        <v/>
      </c>
      <c r="AQ252" s="114">
        <f>SUMIF(Audit[[#This Row],[Difference Winner]:[Difference Candidate 12]], "&gt;0")</f>
        <v>0</v>
      </c>
      <c r="AR252" s="114">
        <f>SUM(Audit[[#This Row],[Difference Winner]:[Difference Candidate 12]])</f>
        <v>0</v>
      </c>
      <c r="AS252" s="114">
        <f>IF(Audit[[#This Row],[Times p Drawn - With Replacement]]&gt;0, IF(Audit[[#This Row],[Canceled Differences]]&lt;0, Audit[[#This Row],[Max Differences]]+ABS(Audit[[#This Row],[Canceled Differences]]), Audit[[#This Row],[Max Differences]]), 0)</f>
        <v>0</v>
      </c>
      <c r="AT252" s="114">
        <f>'Sampling Data'!AB252</f>
        <v>1.0808419189684596E-2</v>
      </c>
      <c r="AU252" s="114">
        <f>IF(
      SUM(Audit[[#This Row],[Audit Losing Candidate]:[Audit Candidate 12]])
      &lt;&gt;0,
      (Audit[[#This Row],[Winning Candidate]]-Audit[[#This Row],[Losing Candidate]]-(Audit[[#This Row],[Audit Winning Candidate]]-Audit[[#This Row],[Audit Losing Candidate]]))/(Audit[[#Totals],[Winning Candidate]]-Audit[[#Totals],[Losing Candidate]]),
      0
)</f>
        <v>0</v>
      </c>
      <c r="AV2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2" s="114">
        <f>IF(Audit[[#This Row],[Max Relative Error (ep)]] = 0, 0, Audit[[#This Row],[Max Relative Error (ep)]]/Audit[[#This Row],[Error Bound (up) - Max. possible relative overstatement]])</f>
        <v>0</v>
      </c>
      <c r="BH2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2" s="114">
        <f t="shared" si="4"/>
        <v>1</v>
      </c>
      <c r="BJ252" s="114">
        <f>PRODUCT($BI$5:BI252)</f>
        <v>0.20973752198051165</v>
      </c>
      <c r="BK252" s="112">
        <f>1 - Audit[[#This Row],[K-M P Value]]</f>
        <v>0.79026247801948835</v>
      </c>
      <c r="BL252" s="114" t="str">
        <f>IF(Audit[[#This Row],[K-M P Value]]&gt;1-'General Info'!$B$12,"Continue", "Stop")</f>
        <v>Continue</v>
      </c>
      <c r="BM252" s="113" t="b">
        <f>IF(Audit[[#This Row],[Status - Continue or stop audit]] = "Continue", TRUE, IF(BL251 = "Continue", TRUE, FALSE))</f>
        <v>1</v>
      </c>
      <c r="BN252" s="113"/>
    </row>
    <row r="253" spans="1:66" ht="15" hidden="1" customHeight="1" x14ac:dyDescent="0.35">
      <c r="A253" s="114" t="str">
        <f>'Sampling Data'!AI253</f>
        <v/>
      </c>
      <c r="B253" s="114" t="str">
        <f>'Sampling Data'!A253</f>
        <v>0708 CIN 7-H   (ED)</v>
      </c>
      <c r="C253" s="114">
        <f>'Sampling Data'!B253</f>
        <v>77</v>
      </c>
      <c r="D253" s="114">
        <f>'Sampling Data'!C253</f>
        <v>4</v>
      </c>
      <c r="E253" s="115">
        <f>'Sampling Data'!D253</f>
        <v>3</v>
      </c>
      <c r="F253" s="115">
        <f>'Sampling Data'!E253</f>
        <v>0</v>
      </c>
      <c r="G253" s="115">
        <f>'Sampling Data'!F253</f>
        <v>0</v>
      </c>
      <c r="H253" s="115">
        <f>'Sampling Data'!G253</f>
        <v>0</v>
      </c>
      <c r="I253" s="115">
        <f>'Sampling Data'!H253</f>
        <v>0</v>
      </c>
      <c r="J253" s="115">
        <f>'Sampling Data'!I253</f>
        <v>0</v>
      </c>
      <c r="K253" s="115">
        <f>'Sampling Data'!J253</f>
        <v>0</v>
      </c>
      <c r="L253" s="115">
        <f>'Sampling Data'!K253</f>
        <v>0</v>
      </c>
      <c r="M253" s="115">
        <f>'Sampling Data'!L253</f>
        <v>0</v>
      </c>
      <c r="N253" s="115">
        <f>'Sampling Data'!M253</f>
        <v>0</v>
      </c>
      <c r="O253" s="114">
        <f>'Sampling Data'!N253</f>
        <v>0</v>
      </c>
      <c r="P253" s="114">
        <f>'Sampling Data'!O253</f>
        <v>2</v>
      </c>
      <c r="Q253" s="114">
        <f>'Sampling Data'!P253</f>
        <v>86</v>
      </c>
      <c r="R253" s="114">
        <f>'Sampling Data'!AJ253</f>
        <v>0</v>
      </c>
      <c r="S253" s="116"/>
      <c r="T253" s="116"/>
      <c r="U253" s="117"/>
      <c r="V253" s="117"/>
      <c r="W253" s="116"/>
      <c r="X253" s="116"/>
      <c r="Y253" s="116"/>
      <c r="Z253" s="116"/>
      <c r="AA253" s="15"/>
      <c r="AB253" s="15"/>
      <c r="AC253" s="15"/>
      <c r="AD253" s="15"/>
      <c r="AE253" s="118" t="str">
        <f>IF(NOT(ISBLANK(Audit[[#This Row],[Audit Winning Candidate]])), Audit[[#This Row],[Audit Winning Candidate]]-Audit[[#This Row],[Winning Candidate]], "")</f>
        <v/>
      </c>
      <c r="AF253" s="114" t="str">
        <f>IF(NOT(ISBLANK(Audit[[#This Row],[Audit Losing Candidate]])), Audit[[#This Row],[Audit Losing Candidate]]-Audit[[#This Row],[Losing Candidate]], "")</f>
        <v/>
      </c>
      <c r="AG253" s="114" t="str">
        <f>IF(NOT(ISBLANK(Audit[[#This Row],[Audit Candidate 3]])), Audit[[#This Row],[Audit Candidate 3]]-Audit[[#This Row],[Candidate 3]], "")</f>
        <v/>
      </c>
      <c r="AH253" s="114" t="str">
        <f>IF(NOT(ISBLANK(Audit[[#This Row],[Audit Candidate 4]])),Audit[[#This Row],[Audit Candidate 4]]-Audit[[#This Row],[Candidate 4]], "")</f>
        <v/>
      </c>
      <c r="AI253" s="114" t="str">
        <f>IF(NOT(ISBLANK(Audit[[#This Row],[Audit Candidate 5]])), Audit[[#This Row],[Audit Candidate 5]]-Audit[[#This Row],[Candidate 5]], "")</f>
        <v/>
      </c>
      <c r="AJ253" s="114" t="str">
        <f>IF(NOT(ISBLANK(Audit[[#This Row],[Audit Candidate 6]])), Audit[[#This Row],[Audit Candidate 6]]-Audit[[#This Row],[Candidate 6]], "")</f>
        <v/>
      </c>
      <c r="AK253" s="114" t="str">
        <f>IF(NOT(ISBLANK(Audit[[#This Row],[Audit Candidate 7]])), Audit[[#This Row],[Audit Candidate 7]]-Audit[[#This Row],[Candidate 7]], "")</f>
        <v/>
      </c>
      <c r="AL253" s="114" t="str">
        <f>IF(NOT(ISBLANK(Audit[[#This Row],[Audit Candidate 8]])), Audit[[#This Row],[Audit Candidate 8]]-Audit[[#This Row],[Candidate 8]], "")</f>
        <v/>
      </c>
      <c r="AM253" s="114" t="str">
        <f>IF(NOT(ISBLANK(Audit[[#This Row],[Audit Candidate 9]])), Audit[[#This Row],[Audit Candidate 9]]-Audit[[#This Row],[Candidate 9]], "")</f>
        <v/>
      </c>
      <c r="AN253" s="114" t="str">
        <f>IF(NOT(ISBLANK(Audit[[#This Row],[Audit Candidate 10]])), Audit[[#This Row],[Audit Candidate 10]]-Audit[[#This Row],[Candidate 10]], "")</f>
        <v/>
      </c>
      <c r="AO253" s="114" t="str">
        <f>IF(NOT(ISBLANK(Audit[[#This Row],[Audit Candidate 11]])), Audit[[#This Row],[Audit Candidate 11]]-Audit[[#This Row],[Candidate 11]], "")</f>
        <v/>
      </c>
      <c r="AP253" s="114" t="str">
        <f>IF(NOT(ISBLANK(Audit[[#This Row],[Audit Candidate 12]])), Audit[[#This Row],[Audit Candidate 12]]-Audit[[#This Row],[Candidate 12]], "")</f>
        <v/>
      </c>
      <c r="AQ253" s="114">
        <f>SUMIF(Audit[[#This Row],[Difference Winner]:[Difference Candidate 12]], "&gt;0")</f>
        <v>0</v>
      </c>
      <c r="AR253" s="114">
        <f>SUM(Audit[[#This Row],[Difference Winner]:[Difference Candidate 12]])</f>
        <v>0</v>
      </c>
      <c r="AS253" s="114">
        <f>IF(Audit[[#This Row],[Times p Drawn - With Replacement]]&gt;0, IF(Audit[[#This Row],[Canceled Differences]]&lt;0, Audit[[#This Row],[Max Differences]]+ABS(Audit[[#This Row],[Canceled Differences]]), Audit[[#This Row],[Max Differences]]), 0)</f>
        <v>0</v>
      </c>
      <c r="AT253" s="114">
        <f>'Sampling Data'!AB253</f>
        <v>1.0049933632513747E-2</v>
      </c>
      <c r="AU253" s="114">
        <f>IF(
      SUM(Audit[[#This Row],[Audit Losing Candidate]:[Audit Candidate 12]])
      &lt;&gt;0,
      (Audit[[#This Row],[Winning Candidate]]-Audit[[#This Row],[Losing Candidate]]-(Audit[[#This Row],[Audit Winning Candidate]]-Audit[[#This Row],[Audit Losing Candidate]]))/(Audit[[#Totals],[Winning Candidate]]-Audit[[#Totals],[Losing Candidate]]),
      0
)</f>
        <v>0</v>
      </c>
      <c r="AV2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3" s="114">
        <f>IF(Audit[[#This Row],[Max Relative Error (ep)]] = 0, 0, Audit[[#This Row],[Max Relative Error (ep)]]/Audit[[#This Row],[Error Bound (up) - Max. possible relative overstatement]])</f>
        <v>0</v>
      </c>
      <c r="BH2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3" s="114">
        <f t="shared" si="4"/>
        <v>1</v>
      </c>
      <c r="BJ253" s="114">
        <f>PRODUCT($BI$5:BI253)</f>
        <v>0.20973752198051165</v>
      </c>
      <c r="BK253" s="112">
        <f>1 - Audit[[#This Row],[K-M P Value]]</f>
        <v>0.79026247801948835</v>
      </c>
      <c r="BL253" s="114" t="str">
        <f>IF(Audit[[#This Row],[K-M P Value]]&gt;1-'General Info'!$B$12,"Continue", "Stop")</f>
        <v>Continue</v>
      </c>
      <c r="BM253" s="113" t="b">
        <f>IF(Audit[[#This Row],[Status - Continue or stop audit]] = "Continue", TRUE, IF(BL252 = "Continue", TRUE, FALSE))</f>
        <v>1</v>
      </c>
      <c r="BN253" s="113"/>
    </row>
    <row r="254" spans="1:66" ht="15" hidden="1" customHeight="1" x14ac:dyDescent="0.35">
      <c r="A254" s="114" t="str">
        <f>'Sampling Data'!AI254</f>
        <v/>
      </c>
      <c r="B254" s="114" t="str">
        <f>'Sampling Data'!A254</f>
        <v>0709 CIN 7-I   (ED)</v>
      </c>
      <c r="C254" s="114">
        <f>'Sampling Data'!B254</f>
        <v>110</v>
      </c>
      <c r="D254" s="114">
        <f>'Sampling Data'!C254</f>
        <v>4</v>
      </c>
      <c r="E254" s="115">
        <f>'Sampling Data'!D254</f>
        <v>2</v>
      </c>
      <c r="F254" s="115">
        <f>'Sampling Data'!E254</f>
        <v>0</v>
      </c>
      <c r="G254" s="115">
        <f>'Sampling Data'!F254</f>
        <v>0</v>
      </c>
      <c r="H254" s="115">
        <f>'Sampling Data'!G254</f>
        <v>0</v>
      </c>
      <c r="I254" s="115">
        <f>'Sampling Data'!H254</f>
        <v>0</v>
      </c>
      <c r="J254" s="115">
        <f>'Sampling Data'!I254</f>
        <v>0</v>
      </c>
      <c r="K254" s="115">
        <f>'Sampling Data'!J254</f>
        <v>0</v>
      </c>
      <c r="L254" s="115">
        <f>'Sampling Data'!K254</f>
        <v>0</v>
      </c>
      <c r="M254" s="115">
        <f>'Sampling Data'!L254</f>
        <v>0</v>
      </c>
      <c r="N254" s="115">
        <f>'Sampling Data'!M254</f>
        <v>0</v>
      </c>
      <c r="O254" s="114">
        <f>'Sampling Data'!N254</f>
        <v>0</v>
      </c>
      <c r="P254" s="114">
        <f>'Sampling Data'!O254</f>
        <v>0</v>
      </c>
      <c r="Q254" s="114">
        <f>'Sampling Data'!P254</f>
        <v>116</v>
      </c>
      <c r="R254" s="114">
        <f>'Sampling Data'!AJ254</f>
        <v>0</v>
      </c>
      <c r="S254" s="116"/>
      <c r="T254" s="116"/>
      <c r="U254" s="117"/>
      <c r="V254" s="117"/>
      <c r="W254" s="116"/>
      <c r="X254" s="116"/>
      <c r="Y254" s="116"/>
      <c r="Z254" s="116"/>
      <c r="AA254" s="15"/>
      <c r="AB254" s="15"/>
      <c r="AC254" s="15"/>
      <c r="AD254" s="15"/>
      <c r="AE254" s="118" t="str">
        <f>IF(NOT(ISBLANK(Audit[[#This Row],[Audit Winning Candidate]])), Audit[[#This Row],[Audit Winning Candidate]]-Audit[[#This Row],[Winning Candidate]], "")</f>
        <v/>
      </c>
      <c r="AF254" s="114" t="str">
        <f>IF(NOT(ISBLANK(Audit[[#This Row],[Audit Losing Candidate]])), Audit[[#This Row],[Audit Losing Candidate]]-Audit[[#This Row],[Losing Candidate]], "")</f>
        <v/>
      </c>
      <c r="AG254" s="114" t="str">
        <f>IF(NOT(ISBLANK(Audit[[#This Row],[Audit Candidate 3]])), Audit[[#This Row],[Audit Candidate 3]]-Audit[[#This Row],[Candidate 3]], "")</f>
        <v/>
      </c>
      <c r="AH254" s="114" t="str">
        <f>IF(NOT(ISBLANK(Audit[[#This Row],[Audit Candidate 4]])),Audit[[#This Row],[Audit Candidate 4]]-Audit[[#This Row],[Candidate 4]], "")</f>
        <v/>
      </c>
      <c r="AI254" s="114" t="str">
        <f>IF(NOT(ISBLANK(Audit[[#This Row],[Audit Candidate 5]])), Audit[[#This Row],[Audit Candidate 5]]-Audit[[#This Row],[Candidate 5]], "")</f>
        <v/>
      </c>
      <c r="AJ254" s="114" t="str">
        <f>IF(NOT(ISBLANK(Audit[[#This Row],[Audit Candidate 6]])), Audit[[#This Row],[Audit Candidate 6]]-Audit[[#This Row],[Candidate 6]], "")</f>
        <v/>
      </c>
      <c r="AK254" s="114" t="str">
        <f>IF(NOT(ISBLANK(Audit[[#This Row],[Audit Candidate 7]])), Audit[[#This Row],[Audit Candidate 7]]-Audit[[#This Row],[Candidate 7]], "")</f>
        <v/>
      </c>
      <c r="AL254" s="114" t="str">
        <f>IF(NOT(ISBLANK(Audit[[#This Row],[Audit Candidate 8]])), Audit[[#This Row],[Audit Candidate 8]]-Audit[[#This Row],[Candidate 8]], "")</f>
        <v/>
      </c>
      <c r="AM254" s="114" t="str">
        <f>IF(NOT(ISBLANK(Audit[[#This Row],[Audit Candidate 9]])), Audit[[#This Row],[Audit Candidate 9]]-Audit[[#This Row],[Candidate 9]], "")</f>
        <v/>
      </c>
      <c r="AN254" s="114" t="str">
        <f>IF(NOT(ISBLANK(Audit[[#This Row],[Audit Candidate 10]])), Audit[[#This Row],[Audit Candidate 10]]-Audit[[#This Row],[Candidate 10]], "")</f>
        <v/>
      </c>
      <c r="AO254" s="114" t="str">
        <f>IF(NOT(ISBLANK(Audit[[#This Row],[Audit Candidate 11]])), Audit[[#This Row],[Audit Candidate 11]]-Audit[[#This Row],[Candidate 11]], "")</f>
        <v/>
      </c>
      <c r="AP254" s="114" t="str">
        <f>IF(NOT(ISBLANK(Audit[[#This Row],[Audit Candidate 12]])), Audit[[#This Row],[Audit Candidate 12]]-Audit[[#This Row],[Candidate 12]], "")</f>
        <v/>
      </c>
      <c r="AQ254" s="114">
        <f>SUMIF(Audit[[#This Row],[Difference Winner]:[Difference Candidate 12]], "&gt;0")</f>
        <v>0</v>
      </c>
      <c r="AR254" s="114">
        <f>SUM(Audit[[#This Row],[Difference Winner]:[Difference Candidate 12]])</f>
        <v>0</v>
      </c>
      <c r="AS254" s="114">
        <f>IF(Audit[[#This Row],[Times p Drawn - With Replacement]]&gt;0, IF(Audit[[#This Row],[Canceled Differences]]&lt;0, Audit[[#This Row],[Max Differences]]+ABS(Audit[[#This Row],[Canceled Differences]]), Audit[[#This Row],[Max Differences]]), 0)</f>
        <v>0</v>
      </c>
      <c r="AT254" s="114">
        <f>'Sampling Data'!AB254</f>
        <v>1.4031982807660704E-2</v>
      </c>
      <c r="AU254" s="114">
        <f>IF(
      SUM(Audit[[#This Row],[Audit Losing Candidate]:[Audit Candidate 12]])
      &lt;&gt;0,
      (Audit[[#This Row],[Winning Candidate]]-Audit[[#This Row],[Losing Candidate]]-(Audit[[#This Row],[Audit Winning Candidate]]-Audit[[#This Row],[Audit Losing Candidate]]))/(Audit[[#Totals],[Winning Candidate]]-Audit[[#Totals],[Losing Candidate]]),
      0
)</f>
        <v>0</v>
      </c>
      <c r="AV2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4" s="114">
        <f>IF(Audit[[#This Row],[Max Relative Error (ep)]] = 0, 0, Audit[[#This Row],[Max Relative Error (ep)]]/Audit[[#This Row],[Error Bound (up) - Max. possible relative overstatement]])</f>
        <v>0</v>
      </c>
      <c r="BH2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4" s="114">
        <f t="shared" si="4"/>
        <v>1</v>
      </c>
      <c r="BJ254" s="114">
        <f>PRODUCT($BI$5:BI254)</f>
        <v>0.20973752198051165</v>
      </c>
      <c r="BK254" s="112">
        <f>1 - Audit[[#This Row],[K-M P Value]]</f>
        <v>0.79026247801948835</v>
      </c>
      <c r="BL254" s="114" t="str">
        <f>IF(Audit[[#This Row],[K-M P Value]]&gt;1-'General Info'!$B$12,"Continue", "Stop")</f>
        <v>Continue</v>
      </c>
      <c r="BM254" s="113" t="b">
        <f>IF(Audit[[#This Row],[Status - Continue or stop audit]] = "Continue", TRUE, IF(BL253 = "Continue", TRUE, FALSE))</f>
        <v>1</v>
      </c>
      <c r="BN254" s="113"/>
    </row>
    <row r="255" spans="1:66" ht="15" hidden="1" customHeight="1" x14ac:dyDescent="0.35">
      <c r="A255" s="114" t="str">
        <f>'Sampling Data'!AI255</f>
        <v/>
      </c>
      <c r="B255" s="114" t="str">
        <f>'Sampling Data'!A255</f>
        <v>0710 CIN 7-J   (ED)</v>
      </c>
      <c r="C255" s="114">
        <f>'Sampling Data'!B255</f>
        <v>32</v>
      </c>
      <c r="D255" s="114">
        <f>'Sampling Data'!C255</f>
        <v>0</v>
      </c>
      <c r="E255" s="115">
        <f>'Sampling Data'!D255</f>
        <v>1</v>
      </c>
      <c r="F255" s="115">
        <f>'Sampling Data'!E255</f>
        <v>0</v>
      </c>
      <c r="G255" s="115">
        <f>'Sampling Data'!F255</f>
        <v>0</v>
      </c>
      <c r="H255" s="115">
        <f>'Sampling Data'!G255</f>
        <v>0</v>
      </c>
      <c r="I255" s="115">
        <f>'Sampling Data'!H255</f>
        <v>0</v>
      </c>
      <c r="J255" s="115">
        <f>'Sampling Data'!I255</f>
        <v>0</v>
      </c>
      <c r="K255" s="115">
        <f>'Sampling Data'!J255</f>
        <v>0</v>
      </c>
      <c r="L255" s="115">
        <f>'Sampling Data'!K255</f>
        <v>0</v>
      </c>
      <c r="M255" s="115">
        <f>'Sampling Data'!L255</f>
        <v>0</v>
      </c>
      <c r="N255" s="115">
        <f>'Sampling Data'!M255</f>
        <v>0</v>
      </c>
      <c r="O255" s="114">
        <f>'Sampling Data'!N255</f>
        <v>0</v>
      </c>
      <c r="P255" s="114">
        <f>'Sampling Data'!O255</f>
        <v>0</v>
      </c>
      <c r="Q255" s="114">
        <f>'Sampling Data'!P255</f>
        <v>33</v>
      </c>
      <c r="R255" s="114">
        <f>'Sampling Data'!AJ255</f>
        <v>0</v>
      </c>
      <c r="S255" s="116"/>
      <c r="T255" s="116"/>
      <c r="U255" s="117"/>
      <c r="V255" s="117"/>
      <c r="W255" s="116"/>
      <c r="X255" s="116"/>
      <c r="Y255" s="116"/>
      <c r="Z255" s="116"/>
      <c r="AA255" s="15"/>
      <c r="AB255" s="15"/>
      <c r="AC255" s="15"/>
      <c r="AD255" s="15"/>
      <c r="AE255" s="118" t="str">
        <f>IF(NOT(ISBLANK(Audit[[#This Row],[Audit Winning Candidate]])), Audit[[#This Row],[Audit Winning Candidate]]-Audit[[#This Row],[Winning Candidate]], "")</f>
        <v/>
      </c>
      <c r="AF255" s="114" t="str">
        <f>IF(NOT(ISBLANK(Audit[[#This Row],[Audit Losing Candidate]])), Audit[[#This Row],[Audit Losing Candidate]]-Audit[[#This Row],[Losing Candidate]], "")</f>
        <v/>
      </c>
      <c r="AG255" s="114" t="str">
        <f>IF(NOT(ISBLANK(Audit[[#This Row],[Audit Candidate 3]])), Audit[[#This Row],[Audit Candidate 3]]-Audit[[#This Row],[Candidate 3]], "")</f>
        <v/>
      </c>
      <c r="AH255" s="114" t="str">
        <f>IF(NOT(ISBLANK(Audit[[#This Row],[Audit Candidate 4]])),Audit[[#This Row],[Audit Candidate 4]]-Audit[[#This Row],[Candidate 4]], "")</f>
        <v/>
      </c>
      <c r="AI255" s="114" t="str">
        <f>IF(NOT(ISBLANK(Audit[[#This Row],[Audit Candidate 5]])), Audit[[#This Row],[Audit Candidate 5]]-Audit[[#This Row],[Candidate 5]], "")</f>
        <v/>
      </c>
      <c r="AJ255" s="114" t="str">
        <f>IF(NOT(ISBLANK(Audit[[#This Row],[Audit Candidate 6]])), Audit[[#This Row],[Audit Candidate 6]]-Audit[[#This Row],[Candidate 6]], "")</f>
        <v/>
      </c>
      <c r="AK255" s="114" t="str">
        <f>IF(NOT(ISBLANK(Audit[[#This Row],[Audit Candidate 7]])), Audit[[#This Row],[Audit Candidate 7]]-Audit[[#This Row],[Candidate 7]], "")</f>
        <v/>
      </c>
      <c r="AL255" s="114" t="str">
        <f>IF(NOT(ISBLANK(Audit[[#This Row],[Audit Candidate 8]])), Audit[[#This Row],[Audit Candidate 8]]-Audit[[#This Row],[Candidate 8]], "")</f>
        <v/>
      </c>
      <c r="AM255" s="114" t="str">
        <f>IF(NOT(ISBLANK(Audit[[#This Row],[Audit Candidate 9]])), Audit[[#This Row],[Audit Candidate 9]]-Audit[[#This Row],[Candidate 9]], "")</f>
        <v/>
      </c>
      <c r="AN255" s="114" t="str">
        <f>IF(NOT(ISBLANK(Audit[[#This Row],[Audit Candidate 10]])), Audit[[#This Row],[Audit Candidate 10]]-Audit[[#This Row],[Candidate 10]], "")</f>
        <v/>
      </c>
      <c r="AO255" s="114" t="str">
        <f>IF(NOT(ISBLANK(Audit[[#This Row],[Audit Candidate 11]])), Audit[[#This Row],[Audit Candidate 11]]-Audit[[#This Row],[Candidate 11]], "")</f>
        <v/>
      </c>
      <c r="AP255" s="114" t="str">
        <f>IF(NOT(ISBLANK(Audit[[#This Row],[Audit Candidate 12]])), Audit[[#This Row],[Audit Candidate 12]]-Audit[[#This Row],[Candidate 12]], "")</f>
        <v/>
      </c>
      <c r="AQ255" s="114">
        <f>SUMIF(Audit[[#This Row],[Difference Winner]:[Difference Candidate 12]], "&gt;0")</f>
        <v>0</v>
      </c>
      <c r="AR255" s="114">
        <f>SUM(Audit[[#This Row],[Difference Winner]:[Difference Candidate 12]])</f>
        <v>0</v>
      </c>
      <c r="AS255" s="114">
        <f>IF(Audit[[#This Row],[Times p Drawn - With Replacement]]&gt;0, IF(Audit[[#This Row],[Canceled Differences]]&lt;0, Audit[[#This Row],[Max Differences]]+ABS(Audit[[#This Row],[Canceled Differences]]), Audit[[#This Row],[Max Differences]]), 0)</f>
        <v>0</v>
      </c>
      <c r="AT255" s="114">
        <f>'Sampling Data'!AB255</f>
        <v>4.1084634346754316E-3</v>
      </c>
      <c r="AU255" s="114">
        <f>IF(
      SUM(Audit[[#This Row],[Audit Losing Candidate]:[Audit Candidate 12]])
      &lt;&gt;0,
      (Audit[[#This Row],[Winning Candidate]]-Audit[[#This Row],[Losing Candidate]]-(Audit[[#This Row],[Audit Winning Candidate]]-Audit[[#This Row],[Audit Losing Candidate]]))/(Audit[[#Totals],[Winning Candidate]]-Audit[[#Totals],[Losing Candidate]]),
      0
)</f>
        <v>0</v>
      </c>
      <c r="AV2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5" s="114">
        <f>IF(Audit[[#This Row],[Max Relative Error (ep)]] = 0, 0, Audit[[#This Row],[Max Relative Error (ep)]]/Audit[[#This Row],[Error Bound (up) - Max. possible relative overstatement]])</f>
        <v>0</v>
      </c>
      <c r="BH2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5" s="114">
        <f t="shared" si="4"/>
        <v>1</v>
      </c>
      <c r="BJ255" s="114">
        <f>PRODUCT($BI$5:BI255)</f>
        <v>0.20973752198051165</v>
      </c>
      <c r="BK255" s="112">
        <f>1 - Audit[[#This Row],[K-M P Value]]</f>
        <v>0.79026247801948835</v>
      </c>
      <c r="BL255" s="114" t="str">
        <f>IF(Audit[[#This Row],[K-M P Value]]&gt;1-'General Info'!$B$12,"Continue", "Stop")</f>
        <v>Continue</v>
      </c>
      <c r="BM255" s="113" t="b">
        <f>IF(Audit[[#This Row],[Status - Continue or stop audit]] = "Continue", TRUE, IF(BL254 = "Continue", TRUE, FALSE))</f>
        <v>1</v>
      </c>
      <c r="BN255" s="113"/>
    </row>
    <row r="256" spans="1:66" ht="15" hidden="1" customHeight="1" x14ac:dyDescent="0.35">
      <c r="A256" s="114" t="str">
        <f>'Sampling Data'!AI256</f>
        <v/>
      </c>
      <c r="B256" s="114" t="str">
        <f>'Sampling Data'!A256</f>
        <v>0711 CIN 7-K   (ED)</v>
      </c>
      <c r="C256" s="114">
        <f>'Sampling Data'!B256</f>
        <v>90</v>
      </c>
      <c r="D256" s="114">
        <f>'Sampling Data'!C256</f>
        <v>5</v>
      </c>
      <c r="E256" s="115">
        <f>'Sampling Data'!D256</f>
        <v>2</v>
      </c>
      <c r="F256" s="115">
        <f>'Sampling Data'!E256</f>
        <v>0</v>
      </c>
      <c r="G256" s="115">
        <f>'Sampling Data'!F256</f>
        <v>0</v>
      </c>
      <c r="H256" s="115">
        <f>'Sampling Data'!G256</f>
        <v>0</v>
      </c>
      <c r="I256" s="115">
        <f>'Sampling Data'!H256</f>
        <v>0</v>
      </c>
      <c r="J256" s="115">
        <f>'Sampling Data'!I256</f>
        <v>0</v>
      </c>
      <c r="K256" s="115">
        <f>'Sampling Data'!J256</f>
        <v>0</v>
      </c>
      <c r="L256" s="115">
        <f>'Sampling Data'!K256</f>
        <v>0</v>
      </c>
      <c r="M256" s="115">
        <f>'Sampling Data'!L256</f>
        <v>0</v>
      </c>
      <c r="N256" s="115">
        <f>'Sampling Data'!M256</f>
        <v>0</v>
      </c>
      <c r="O256" s="114">
        <f>'Sampling Data'!N256</f>
        <v>0</v>
      </c>
      <c r="P256" s="114">
        <f>'Sampling Data'!O256</f>
        <v>0</v>
      </c>
      <c r="Q256" s="114">
        <f>'Sampling Data'!P256</f>
        <v>97</v>
      </c>
      <c r="R256" s="114">
        <f>'Sampling Data'!AJ256</f>
        <v>0</v>
      </c>
      <c r="S256" s="116"/>
      <c r="T256" s="116"/>
      <c r="U256" s="117"/>
      <c r="V256" s="117"/>
      <c r="W256" s="116"/>
      <c r="X256" s="116"/>
      <c r="Y256" s="116"/>
      <c r="Z256" s="116"/>
      <c r="AA256" s="15"/>
      <c r="AB256" s="15"/>
      <c r="AC256" s="15"/>
      <c r="AD256" s="15"/>
      <c r="AE256" s="118" t="str">
        <f>IF(NOT(ISBLANK(Audit[[#This Row],[Audit Winning Candidate]])), Audit[[#This Row],[Audit Winning Candidate]]-Audit[[#This Row],[Winning Candidate]], "")</f>
        <v/>
      </c>
      <c r="AF256" s="114" t="str">
        <f>IF(NOT(ISBLANK(Audit[[#This Row],[Audit Losing Candidate]])), Audit[[#This Row],[Audit Losing Candidate]]-Audit[[#This Row],[Losing Candidate]], "")</f>
        <v/>
      </c>
      <c r="AG256" s="114" t="str">
        <f>IF(NOT(ISBLANK(Audit[[#This Row],[Audit Candidate 3]])), Audit[[#This Row],[Audit Candidate 3]]-Audit[[#This Row],[Candidate 3]], "")</f>
        <v/>
      </c>
      <c r="AH256" s="114" t="str">
        <f>IF(NOT(ISBLANK(Audit[[#This Row],[Audit Candidate 4]])),Audit[[#This Row],[Audit Candidate 4]]-Audit[[#This Row],[Candidate 4]], "")</f>
        <v/>
      </c>
      <c r="AI256" s="114" t="str">
        <f>IF(NOT(ISBLANK(Audit[[#This Row],[Audit Candidate 5]])), Audit[[#This Row],[Audit Candidate 5]]-Audit[[#This Row],[Candidate 5]], "")</f>
        <v/>
      </c>
      <c r="AJ256" s="114" t="str">
        <f>IF(NOT(ISBLANK(Audit[[#This Row],[Audit Candidate 6]])), Audit[[#This Row],[Audit Candidate 6]]-Audit[[#This Row],[Candidate 6]], "")</f>
        <v/>
      </c>
      <c r="AK256" s="114" t="str">
        <f>IF(NOT(ISBLANK(Audit[[#This Row],[Audit Candidate 7]])), Audit[[#This Row],[Audit Candidate 7]]-Audit[[#This Row],[Candidate 7]], "")</f>
        <v/>
      </c>
      <c r="AL256" s="114" t="str">
        <f>IF(NOT(ISBLANK(Audit[[#This Row],[Audit Candidate 8]])), Audit[[#This Row],[Audit Candidate 8]]-Audit[[#This Row],[Candidate 8]], "")</f>
        <v/>
      </c>
      <c r="AM256" s="114" t="str">
        <f>IF(NOT(ISBLANK(Audit[[#This Row],[Audit Candidate 9]])), Audit[[#This Row],[Audit Candidate 9]]-Audit[[#This Row],[Candidate 9]], "")</f>
        <v/>
      </c>
      <c r="AN256" s="114" t="str">
        <f>IF(NOT(ISBLANK(Audit[[#This Row],[Audit Candidate 10]])), Audit[[#This Row],[Audit Candidate 10]]-Audit[[#This Row],[Candidate 10]], "")</f>
        <v/>
      </c>
      <c r="AO256" s="114" t="str">
        <f>IF(NOT(ISBLANK(Audit[[#This Row],[Audit Candidate 11]])), Audit[[#This Row],[Audit Candidate 11]]-Audit[[#This Row],[Candidate 11]], "")</f>
        <v/>
      </c>
      <c r="AP256" s="114" t="str">
        <f>IF(NOT(ISBLANK(Audit[[#This Row],[Audit Candidate 12]])), Audit[[#This Row],[Audit Candidate 12]]-Audit[[#This Row],[Candidate 12]], "")</f>
        <v/>
      </c>
      <c r="AQ256" s="114">
        <f>SUMIF(Audit[[#This Row],[Difference Winner]:[Difference Candidate 12]], "&gt;0")</f>
        <v>0</v>
      </c>
      <c r="AR256" s="114">
        <f>SUM(Audit[[#This Row],[Difference Winner]:[Difference Candidate 12]])</f>
        <v>0</v>
      </c>
      <c r="AS256" s="114">
        <f>IF(Audit[[#This Row],[Times p Drawn - With Replacement]]&gt;0, IF(Audit[[#This Row],[Canceled Differences]]&lt;0, Audit[[#This Row],[Max Differences]]+ABS(Audit[[#This Row],[Canceled Differences]]), Audit[[#This Row],[Max Differences]]), 0)</f>
        <v>0</v>
      </c>
      <c r="AT256" s="114">
        <f>'Sampling Data'!AB256</f>
        <v>1.1503697617091208E-2</v>
      </c>
      <c r="AU256" s="114">
        <f>IF(
      SUM(Audit[[#This Row],[Audit Losing Candidate]:[Audit Candidate 12]])
      &lt;&gt;0,
      (Audit[[#This Row],[Winning Candidate]]-Audit[[#This Row],[Losing Candidate]]-(Audit[[#This Row],[Audit Winning Candidate]]-Audit[[#This Row],[Audit Losing Candidate]]))/(Audit[[#Totals],[Winning Candidate]]-Audit[[#Totals],[Losing Candidate]]),
      0
)</f>
        <v>0</v>
      </c>
      <c r="AV2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6" s="114">
        <f>IF(Audit[[#This Row],[Max Relative Error (ep)]] = 0, 0, Audit[[#This Row],[Max Relative Error (ep)]]/Audit[[#This Row],[Error Bound (up) - Max. possible relative overstatement]])</f>
        <v>0</v>
      </c>
      <c r="BH2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6" s="114">
        <f t="shared" si="4"/>
        <v>1</v>
      </c>
      <c r="BJ256" s="114">
        <f>PRODUCT($BI$5:BI256)</f>
        <v>0.20973752198051165</v>
      </c>
      <c r="BK256" s="112">
        <f>1 - Audit[[#This Row],[K-M P Value]]</f>
        <v>0.79026247801948835</v>
      </c>
      <c r="BL256" s="114" t="str">
        <f>IF(Audit[[#This Row],[K-M P Value]]&gt;1-'General Info'!$B$12,"Continue", "Stop")</f>
        <v>Continue</v>
      </c>
      <c r="BM256" s="113" t="b">
        <f>IF(Audit[[#This Row],[Status - Continue or stop audit]] = "Continue", TRUE, IF(BL255 = "Continue", TRUE, FALSE))</f>
        <v>1</v>
      </c>
      <c r="BN256" s="113"/>
    </row>
    <row r="257" spans="1:66" ht="15" hidden="1" customHeight="1" x14ac:dyDescent="0.35">
      <c r="A257" s="114" t="str">
        <f>'Sampling Data'!AI257</f>
        <v/>
      </c>
      <c r="B257" s="114" t="str">
        <f>'Sampling Data'!A257</f>
        <v>0801 CIN 8-A   (ED)</v>
      </c>
      <c r="C257" s="114">
        <f>'Sampling Data'!B257</f>
        <v>81</v>
      </c>
      <c r="D257" s="114">
        <f>'Sampling Data'!C257</f>
        <v>7</v>
      </c>
      <c r="E257" s="115">
        <f>'Sampling Data'!D257</f>
        <v>2</v>
      </c>
      <c r="F257" s="115">
        <f>'Sampling Data'!E257</f>
        <v>0</v>
      </c>
      <c r="G257" s="115">
        <f>'Sampling Data'!F257</f>
        <v>0</v>
      </c>
      <c r="H257" s="115">
        <f>'Sampling Data'!G257</f>
        <v>0</v>
      </c>
      <c r="I257" s="115">
        <f>'Sampling Data'!H257</f>
        <v>0</v>
      </c>
      <c r="J257" s="115">
        <f>'Sampling Data'!I257</f>
        <v>0</v>
      </c>
      <c r="K257" s="115">
        <f>'Sampling Data'!J257</f>
        <v>0</v>
      </c>
      <c r="L257" s="115">
        <f>'Sampling Data'!K257</f>
        <v>0</v>
      </c>
      <c r="M257" s="115">
        <f>'Sampling Data'!L257</f>
        <v>0</v>
      </c>
      <c r="N257" s="115">
        <f>'Sampling Data'!M257</f>
        <v>0</v>
      </c>
      <c r="O257" s="114">
        <f>'Sampling Data'!N257</f>
        <v>0</v>
      </c>
      <c r="P257" s="114">
        <f>'Sampling Data'!O257</f>
        <v>1</v>
      </c>
      <c r="Q257" s="114">
        <f>'Sampling Data'!P257</f>
        <v>91</v>
      </c>
      <c r="R257" s="114">
        <f>'Sampling Data'!AJ257</f>
        <v>0</v>
      </c>
      <c r="S257" s="116"/>
      <c r="T257" s="116"/>
      <c r="U257" s="117"/>
      <c r="V257" s="117"/>
      <c r="W257" s="116"/>
      <c r="X257" s="116"/>
      <c r="Y257" s="116"/>
      <c r="Z257" s="116"/>
      <c r="AA257" s="15"/>
      <c r="AB257" s="15"/>
      <c r="AC257" s="15"/>
      <c r="AD257" s="15"/>
      <c r="AE257" s="118" t="str">
        <f>IF(NOT(ISBLANK(Audit[[#This Row],[Audit Winning Candidate]])), Audit[[#This Row],[Audit Winning Candidate]]-Audit[[#This Row],[Winning Candidate]], "")</f>
        <v/>
      </c>
      <c r="AF257" s="114" t="str">
        <f>IF(NOT(ISBLANK(Audit[[#This Row],[Audit Losing Candidate]])), Audit[[#This Row],[Audit Losing Candidate]]-Audit[[#This Row],[Losing Candidate]], "")</f>
        <v/>
      </c>
      <c r="AG257" s="114" t="str">
        <f>IF(NOT(ISBLANK(Audit[[#This Row],[Audit Candidate 3]])), Audit[[#This Row],[Audit Candidate 3]]-Audit[[#This Row],[Candidate 3]], "")</f>
        <v/>
      </c>
      <c r="AH257" s="114" t="str">
        <f>IF(NOT(ISBLANK(Audit[[#This Row],[Audit Candidate 4]])),Audit[[#This Row],[Audit Candidate 4]]-Audit[[#This Row],[Candidate 4]], "")</f>
        <v/>
      </c>
      <c r="AI257" s="114" t="str">
        <f>IF(NOT(ISBLANK(Audit[[#This Row],[Audit Candidate 5]])), Audit[[#This Row],[Audit Candidate 5]]-Audit[[#This Row],[Candidate 5]], "")</f>
        <v/>
      </c>
      <c r="AJ257" s="114" t="str">
        <f>IF(NOT(ISBLANK(Audit[[#This Row],[Audit Candidate 6]])), Audit[[#This Row],[Audit Candidate 6]]-Audit[[#This Row],[Candidate 6]], "")</f>
        <v/>
      </c>
      <c r="AK257" s="114" t="str">
        <f>IF(NOT(ISBLANK(Audit[[#This Row],[Audit Candidate 7]])), Audit[[#This Row],[Audit Candidate 7]]-Audit[[#This Row],[Candidate 7]], "")</f>
        <v/>
      </c>
      <c r="AL257" s="114" t="str">
        <f>IF(NOT(ISBLANK(Audit[[#This Row],[Audit Candidate 8]])), Audit[[#This Row],[Audit Candidate 8]]-Audit[[#This Row],[Candidate 8]], "")</f>
        <v/>
      </c>
      <c r="AM257" s="114" t="str">
        <f>IF(NOT(ISBLANK(Audit[[#This Row],[Audit Candidate 9]])), Audit[[#This Row],[Audit Candidate 9]]-Audit[[#This Row],[Candidate 9]], "")</f>
        <v/>
      </c>
      <c r="AN257" s="114" t="str">
        <f>IF(NOT(ISBLANK(Audit[[#This Row],[Audit Candidate 10]])), Audit[[#This Row],[Audit Candidate 10]]-Audit[[#This Row],[Candidate 10]], "")</f>
        <v/>
      </c>
      <c r="AO257" s="114" t="str">
        <f>IF(NOT(ISBLANK(Audit[[#This Row],[Audit Candidate 11]])), Audit[[#This Row],[Audit Candidate 11]]-Audit[[#This Row],[Candidate 11]], "")</f>
        <v/>
      </c>
      <c r="AP257" s="114" t="str">
        <f>IF(NOT(ISBLANK(Audit[[#This Row],[Audit Candidate 12]])), Audit[[#This Row],[Audit Candidate 12]]-Audit[[#This Row],[Candidate 12]], "")</f>
        <v/>
      </c>
      <c r="AQ257" s="114">
        <f>SUMIF(Audit[[#This Row],[Difference Winner]:[Difference Candidate 12]], "&gt;0")</f>
        <v>0</v>
      </c>
      <c r="AR257" s="114">
        <f>SUM(Audit[[#This Row],[Difference Winner]:[Difference Candidate 12]])</f>
        <v>0</v>
      </c>
      <c r="AS257" s="114">
        <f>IF(Audit[[#This Row],[Times p Drawn - With Replacement]]&gt;0, IF(Audit[[#This Row],[Canceled Differences]]&lt;0, Audit[[#This Row],[Max Differences]]+ABS(Audit[[#This Row],[Canceled Differences]]), Audit[[#This Row],[Max Differences]]), 0)</f>
        <v>0</v>
      </c>
      <c r="AT257" s="114">
        <f>'Sampling Data'!AB257</f>
        <v>1.0429176411099172E-2</v>
      </c>
      <c r="AU257" s="114">
        <f>IF(
      SUM(Audit[[#This Row],[Audit Losing Candidate]:[Audit Candidate 12]])
      &lt;&gt;0,
      (Audit[[#This Row],[Winning Candidate]]-Audit[[#This Row],[Losing Candidate]]-(Audit[[#This Row],[Audit Winning Candidate]]-Audit[[#This Row],[Audit Losing Candidate]]))/(Audit[[#Totals],[Winning Candidate]]-Audit[[#Totals],[Losing Candidate]]),
      0
)</f>
        <v>0</v>
      </c>
      <c r="AV2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7" s="114">
        <f>IF(Audit[[#This Row],[Max Relative Error (ep)]] = 0, 0, Audit[[#This Row],[Max Relative Error (ep)]]/Audit[[#This Row],[Error Bound (up) - Max. possible relative overstatement]])</f>
        <v>0</v>
      </c>
      <c r="BH2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7" s="114">
        <f t="shared" si="4"/>
        <v>1</v>
      </c>
      <c r="BJ257" s="114">
        <f>PRODUCT($BI$5:BI257)</f>
        <v>0.20973752198051165</v>
      </c>
      <c r="BK257" s="112">
        <f>1 - Audit[[#This Row],[K-M P Value]]</f>
        <v>0.79026247801948835</v>
      </c>
      <c r="BL257" s="114" t="str">
        <f>IF(Audit[[#This Row],[K-M P Value]]&gt;1-'General Info'!$B$12,"Continue", "Stop")</f>
        <v>Continue</v>
      </c>
      <c r="BM257" s="113" t="b">
        <f>IF(Audit[[#This Row],[Status - Continue or stop audit]] = "Continue", TRUE, IF(BL256 = "Continue", TRUE, FALSE))</f>
        <v>1</v>
      </c>
      <c r="BN257" s="113"/>
    </row>
    <row r="258" spans="1:66" ht="15" hidden="1" customHeight="1" x14ac:dyDescent="0.35">
      <c r="A258" s="114" t="str">
        <f>'Sampling Data'!AI258</f>
        <v/>
      </c>
      <c r="B258" s="114" t="str">
        <f>'Sampling Data'!A258</f>
        <v>0802 CIN 8-B   (ED)</v>
      </c>
      <c r="C258" s="114">
        <f>'Sampling Data'!B258</f>
        <v>148</v>
      </c>
      <c r="D258" s="114">
        <f>'Sampling Data'!C258</f>
        <v>12</v>
      </c>
      <c r="E258" s="115">
        <f>'Sampling Data'!D258</f>
        <v>7</v>
      </c>
      <c r="F258" s="115">
        <f>'Sampling Data'!E258</f>
        <v>0</v>
      </c>
      <c r="G258" s="115">
        <f>'Sampling Data'!F258</f>
        <v>0</v>
      </c>
      <c r="H258" s="115">
        <f>'Sampling Data'!G258</f>
        <v>0</v>
      </c>
      <c r="I258" s="115">
        <f>'Sampling Data'!H258</f>
        <v>0</v>
      </c>
      <c r="J258" s="115">
        <f>'Sampling Data'!I258</f>
        <v>0</v>
      </c>
      <c r="K258" s="115">
        <f>'Sampling Data'!J258</f>
        <v>0</v>
      </c>
      <c r="L258" s="115">
        <f>'Sampling Data'!K258</f>
        <v>0</v>
      </c>
      <c r="M258" s="115">
        <f>'Sampling Data'!L258</f>
        <v>0</v>
      </c>
      <c r="N258" s="115">
        <f>'Sampling Data'!M258</f>
        <v>0</v>
      </c>
      <c r="O258" s="114">
        <f>'Sampling Data'!N258</f>
        <v>1</v>
      </c>
      <c r="P258" s="114">
        <f>'Sampling Data'!O258</f>
        <v>0</v>
      </c>
      <c r="Q258" s="114">
        <f>'Sampling Data'!P258</f>
        <v>168</v>
      </c>
      <c r="R258" s="114">
        <f>'Sampling Data'!AJ258</f>
        <v>0</v>
      </c>
      <c r="S258" s="116"/>
      <c r="T258" s="116"/>
      <c r="U258" s="117"/>
      <c r="V258" s="117"/>
      <c r="W258" s="116"/>
      <c r="X258" s="116"/>
      <c r="Y258" s="116"/>
      <c r="Z258" s="116"/>
      <c r="AA258" s="15"/>
      <c r="AB258" s="15"/>
      <c r="AC258" s="15"/>
      <c r="AD258" s="15"/>
      <c r="AE258" s="118" t="str">
        <f>IF(NOT(ISBLANK(Audit[[#This Row],[Audit Winning Candidate]])), Audit[[#This Row],[Audit Winning Candidate]]-Audit[[#This Row],[Winning Candidate]], "")</f>
        <v/>
      </c>
      <c r="AF258" s="114" t="str">
        <f>IF(NOT(ISBLANK(Audit[[#This Row],[Audit Losing Candidate]])), Audit[[#This Row],[Audit Losing Candidate]]-Audit[[#This Row],[Losing Candidate]], "")</f>
        <v/>
      </c>
      <c r="AG258" s="114" t="str">
        <f>IF(NOT(ISBLANK(Audit[[#This Row],[Audit Candidate 3]])), Audit[[#This Row],[Audit Candidate 3]]-Audit[[#This Row],[Candidate 3]], "")</f>
        <v/>
      </c>
      <c r="AH258" s="114" t="str">
        <f>IF(NOT(ISBLANK(Audit[[#This Row],[Audit Candidate 4]])),Audit[[#This Row],[Audit Candidate 4]]-Audit[[#This Row],[Candidate 4]], "")</f>
        <v/>
      </c>
      <c r="AI258" s="114" t="str">
        <f>IF(NOT(ISBLANK(Audit[[#This Row],[Audit Candidate 5]])), Audit[[#This Row],[Audit Candidate 5]]-Audit[[#This Row],[Candidate 5]], "")</f>
        <v/>
      </c>
      <c r="AJ258" s="114" t="str">
        <f>IF(NOT(ISBLANK(Audit[[#This Row],[Audit Candidate 6]])), Audit[[#This Row],[Audit Candidate 6]]-Audit[[#This Row],[Candidate 6]], "")</f>
        <v/>
      </c>
      <c r="AK258" s="114" t="str">
        <f>IF(NOT(ISBLANK(Audit[[#This Row],[Audit Candidate 7]])), Audit[[#This Row],[Audit Candidate 7]]-Audit[[#This Row],[Candidate 7]], "")</f>
        <v/>
      </c>
      <c r="AL258" s="114" t="str">
        <f>IF(NOT(ISBLANK(Audit[[#This Row],[Audit Candidate 8]])), Audit[[#This Row],[Audit Candidate 8]]-Audit[[#This Row],[Candidate 8]], "")</f>
        <v/>
      </c>
      <c r="AM258" s="114" t="str">
        <f>IF(NOT(ISBLANK(Audit[[#This Row],[Audit Candidate 9]])), Audit[[#This Row],[Audit Candidate 9]]-Audit[[#This Row],[Candidate 9]], "")</f>
        <v/>
      </c>
      <c r="AN258" s="114" t="str">
        <f>IF(NOT(ISBLANK(Audit[[#This Row],[Audit Candidate 10]])), Audit[[#This Row],[Audit Candidate 10]]-Audit[[#This Row],[Candidate 10]], "")</f>
        <v/>
      </c>
      <c r="AO258" s="114" t="str">
        <f>IF(NOT(ISBLANK(Audit[[#This Row],[Audit Candidate 11]])), Audit[[#This Row],[Audit Candidate 11]]-Audit[[#This Row],[Candidate 11]], "")</f>
        <v/>
      </c>
      <c r="AP258" s="114" t="str">
        <f>IF(NOT(ISBLANK(Audit[[#This Row],[Audit Candidate 12]])), Audit[[#This Row],[Audit Candidate 12]]-Audit[[#This Row],[Candidate 12]], "")</f>
        <v/>
      </c>
      <c r="AQ258" s="114">
        <f>SUMIF(Audit[[#This Row],[Difference Winner]:[Difference Candidate 12]], "&gt;0")</f>
        <v>0</v>
      </c>
      <c r="AR258" s="114">
        <f>SUM(Audit[[#This Row],[Difference Winner]:[Difference Candidate 12]])</f>
        <v>0</v>
      </c>
      <c r="AS258" s="114">
        <f>IF(Audit[[#This Row],[Times p Drawn - With Replacement]]&gt;0, IF(Audit[[#This Row],[Canceled Differences]]&lt;0, Audit[[#This Row],[Max Differences]]+ABS(Audit[[#This Row],[Canceled Differences]]), Audit[[#This Row],[Max Differences]]), 0)</f>
        <v>0</v>
      </c>
      <c r="AT258" s="114">
        <f>'Sampling Data'!AB258</f>
        <v>1.9214967448328173E-2</v>
      </c>
      <c r="AU258" s="114">
        <f>IF(
      SUM(Audit[[#This Row],[Audit Losing Candidate]:[Audit Candidate 12]])
      &lt;&gt;0,
      (Audit[[#This Row],[Winning Candidate]]-Audit[[#This Row],[Losing Candidate]]-(Audit[[#This Row],[Audit Winning Candidate]]-Audit[[#This Row],[Audit Losing Candidate]]))/(Audit[[#Totals],[Winning Candidate]]-Audit[[#Totals],[Losing Candidate]]),
      0
)</f>
        <v>0</v>
      </c>
      <c r="AV2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8" s="114">
        <f>IF(Audit[[#This Row],[Max Relative Error (ep)]] = 0, 0, Audit[[#This Row],[Max Relative Error (ep)]]/Audit[[#This Row],[Error Bound (up) - Max. possible relative overstatement]])</f>
        <v>0</v>
      </c>
      <c r="BH2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8" s="114">
        <f t="shared" si="4"/>
        <v>1</v>
      </c>
      <c r="BJ258" s="114">
        <f>PRODUCT($BI$5:BI258)</f>
        <v>0.20973752198051165</v>
      </c>
      <c r="BK258" s="112">
        <f>1 - Audit[[#This Row],[K-M P Value]]</f>
        <v>0.79026247801948835</v>
      </c>
      <c r="BL258" s="114" t="str">
        <f>IF(Audit[[#This Row],[K-M P Value]]&gt;1-'General Info'!$B$12,"Continue", "Stop")</f>
        <v>Continue</v>
      </c>
      <c r="BM258" s="113" t="b">
        <f>IF(Audit[[#This Row],[Status - Continue or stop audit]] = "Continue", TRUE, IF(BL257 = "Continue", TRUE, FALSE))</f>
        <v>1</v>
      </c>
      <c r="BN258" s="113"/>
    </row>
    <row r="259" spans="1:66" ht="15" hidden="1" customHeight="1" x14ac:dyDescent="0.35">
      <c r="A259" s="114" t="str">
        <f>'Sampling Data'!AI259</f>
        <v/>
      </c>
      <c r="B259" s="114" t="str">
        <f>'Sampling Data'!A259</f>
        <v>0803 CIN 8-C   (ED)</v>
      </c>
      <c r="C259" s="114">
        <f>'Sampling Data'!B259</f>
        <v>150</v>
      </c>
      <c r="D259" s="114">
        <f>'Sampling Data'!C259</f>
        <v>52</v>
      </c>
      <c r="E259" s="115">
        <f>'Sampling Data'!D259</f>
        <v>24</v>
      </c>
      <c r="F259" s="115">
        <f>'Sampling Data'!E259</f>
        <v>0</v>
      </c>
      <c r="G259" s="115">
        <f>'Sampling Data'!F259</f>
        <v>0</v>
      </c>
      <c r="H259" s="115">
        <f>'Sampling Data'!G259</f>
        <v>0</v>
      </c>
      <c r="I259" s="115">
        <f>'Sampling Data'!H259</f>
        <v>0</v>
      </c>
      <c r="J259" s="115">
        <f>'Sampling Data'!I259</f>
        <v>0</v>
      </c>
      <c r="K259" s="115">
        <f>'Sampling Data'!J259</f>
        <v>0</v>
      </c>
      <c r="L259" s="115">
        <f>'Sampling Data'!K259</f>
        <v>0</v>
      </c>
      <c r="M259" s="115">
        <f>'Sampling Data'!L259</f>
        <v>0</v>
      </c>
      <c r="N259" s="115">
        <f>'Sampling Data'!M259</f>
        <v>0</v>
      </c>
      <c r="O259" s="114">
        <f>'Sampling Data'!N259</f>
        <v>1</v>
      </c>
      <c r="P259" s="114">
        <f>'Sampling Data'!O259</f>
        <v>1</v>
      </c>
      <c r="Q259" s="114">
        <f>'Sampling Data'!P259</f>
        <v>228</v>
      </c>
      <c r="R259" s="114">
        <f>'Sampling Data'!AJ259</f>
        <v>0</v>
      </c>
      <c r="S259" s="116"/>
      <c r="T259" s="116"/>
      <c r="U259" s="117"/>
      <c r="V259" s="117"/>
      <c r="W259" s="116"/>
      <c r="X259" s="116"/>
      <c r="Y259" s="116"/>
      <c r="Z259" s="116"/>
      <c r="AA259" s="15"/>
      <c r="AB259" s="15"/>
      <c r="AC259" s="15"/>
      <c r="AD259" s="15"/>
      <c r="AE259" s="118" t="str">
        <f>IF(NOT(ISBLANK(Audit[[#This Row],[Audit Winning Candidate]])), Audit[[#This Row],[Audit Winning Candidate]]-Audit[[#This Row],[Winning Candidate]], "")</f>
        <v/>
      </c>
      <c r="AF259" s="114" t="str">
        <f>IF(NOT(ISBLANK(Audit[[#This Row],[Audit Losing Candidate]])), Audit[[#This Row],[Audit Losing Candidate]]-Audit[[#This Row],[Losing Candidate]], "")</f>
        <v/>
      </c>
      <c r="AG259" s="114" t="str">
        <f>IF(NOT(ISBLANK(Audit[[#This Row],[Audit Candidate 3]])), Audit[[#This Row],[Audit Candidate 3]]-Audit[[#This Row],[Candidate 3]], "")</f>
        <v/>
      </c>
      <c r="AH259" s="114" t="str">
        <f>IF(NOT(ISBLANK(Audit[[#This Row],[Audit Candidate 4]])),Audit[[#This Row],[Audit Candidate 4]]-Audit[[#This Row],[Candidate 4]], "")</f>
        <v/>
      </c>
      <c r="AI259" s="114" t="str">
        <f>IF(NOT(ISBLANK(Audit[[#This Row],[Audit Candidate 5]])), Audit[[#This Row],[Audit Candidate 5]]-Audit[[#This Row],[Candidate 5]], "")</f>
        <v/>
      </c>
      <c r="AJ259" s="114" t="str">
        <f>IF(NOT(ISBLANK(Audit[[#This Row],[Audit Candidate 6]])), Audit[[#This Row],[Audit Candidate 6]]-Audit[[#This Row],[Candidate 6]], "")</f>
        <v/>
      </c>
      <c r="AK259" s="114" t="str">
        <f>IF(NOT(ISBLANK(Audit[[#This Row],[Audit Candidate 7]])), Audit[[#This Row],[Audit Candidate 7]]-Audit[[#This Row],[Candidate 7]], "")</f>
        <v/>
      </c>
      <c r="AL259" s="114" t="str">
        <f>IF(NOT(ISBLANK(Audit[[#This Row],[Audit Candidate 8]])), Audit[[#This Row],[Audit Candidate 8]]-Audit[[#This Row],[Candidate 8]], "")</f>
        <v/>
      </c>
      <c r="AM259" s="114" t="str">
        <f>IF(NOT(ISBLANK(Audit[[#This Row],[Audit Candidate 9]])), Audit[[#This Row],[Audit Candidate 9]]-Audit[[#This Row],[Candidate 9]], "")</f>
        <v/>
      </c>
      <c r="AN259" s="114" t="str">
        <f>IF(NOT(ISBLANK(Audit[[#This Row],[Audit Candidate 10]])), Audit[[#This Row],[Audit Candidate 10]]-Audit[[#This Row],[Candidate 10]], "")</f>
        <v/>
      </c>
      <c r="AO259" s="114" t="str">
        <f>IF(NOT(ISBLANK(Audit[[#This Row],[Audit Candidate 11]])), Audit[[#This Row],[Audit Candidate 11]]-Audit[[#This Row],[Candidate 11]], "")</f>
        <v/>
      </c>
      <c r="AP259" s="114" t="str">
        <f>IF(NOT(ISBLANK(Audit[[#This Row],[Audit Candidate 12]])), Audit[[#This Row],[Audit Candidate 12]]-Audit[[#This Row],[Candidate 12]], "")</f>
        <v/>
      </c>
      <c r="AQ259" s="114">
        <f>SUMIF(Audit[[#This Row],[Difference Winner]:[Difference Candidate 12]], "&gt;0")</f>
        <v>0</v>
      </c>
      <c r="AR259" s="114">
        <f>SUM(Audit[[#This Row],[Difference Winner]:[Difference Candidate 12]])</f>
        <v>0</v>
      </c>
      <c r="AS259" s="114">
        <f>IF(Audit[[#This Row],[Times p Drawn - With Replacement]]&gt;0, IF(Audit[[#This Row],[Canceled Differences]]&lt;0, Audit[[#This Row],[Max Differences]]+ABS(Audit[[#This Row],[Canceled Differences]]), Audit[[#This Row],[Max Differences]]), 0)</f>
        <v>0</v>
      </c>
      <c r="AT259" s="114">
        <f>'Sampling Data'!AB259</f>
        <v>2.0605524303141394E-2</v>
      </c>
      <c r="AU259" s="114">
        <f>IF(
      SUM(Audit[[#This Row],[Audit Losing Candidate]:[Audit Candidate 12]])
      &lt;&gt;0,
      (Audit[[#This Row],[Winning Candidate]]-Audit[[#This Row],[Losing Candidate]]-(Audit[[#This Row],[Audit Winning Candidate]]-Audit[[#This Row],[Audit Losing Candidate]]))/(Audit[[#Totals],[Winning Candidate]]-Audit[[#Totals],[Losing Candidate]]),
      0
)</f>
        <v>0</v>
      </c>
      <c r="AV2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9" s="114">
        <f>IF(Audit[[#This Row],[Max Relative Error (ep)]] = 0, 0, Audit[[#This Row],[Max Relative Error (ep)]]/Audit[[#This Row],[Error Bound (up) - Max. possible relative overstatement]])</f>
        <v>0</v>
      </c>
      <c r="BH2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59" s="114">
        <f t="shared" si="4"/>
        <v>1</v>
      </c>
      <c r="BJ259" s="114">
        <f>PRODUCT($BI$5:BI259)</f>
        <v>0.20973752198051165</v>
      </c>
      <c r="BK259" s="112">
        <f>1 - Audit[[#This Row],[K-M P Value]]</f>
        <v>0.79026247801948835</v>
      </c>
      <c r="BL259" s="114" t="str">
        <f>IF(Audit[[#This Row],[K-M P Value]]&gt;1-'General Info'!$B$12,"Continue", "Stop")</f>
        <v>Continue</v>
      </c>
      <c r="BM259" s="113" t="b">
        <f>IF(Audit[[#This Row],[Status - Continue or stop audit]] = "Continue", TRUE, IF(BL258 = "Continue", TRUE, FALSE))</f>
        <v>1</v>
      </c>
      <c r="BN259" s="113"/>
    </row>
    <row r="260" spans="1:66" ht="15" hidden="1" customHeight="1" x14ac:dyDescent="0.35">
      <c r="A260" s="114" t="str">
        <f>'Sampling Data'!AI260</f>
        <v/>
      </c>
      <c r="B260" s="114" t="str">
        <f>'Sampling Data'!A260</f>
        <v>0804 CIN 8-D   (ED)</v>
      </c>
      <c r="C260" s="114">
        <f>'Sampling Data'!B260</f>
        <v>107</v>
      </c>
      <c r="D260" s="114">
        <f>'Sampling Data'!C260</f>
        <v>2</v>
      </c>
      <c r="E260" s="115">
        <f>'Sampling Data'!D260</f>
        <v>0</v>
      </c>
      <c r="F260" s="115">
        <f>'Sampling Data'!E260</f>
        <v>0</v>
      </c>
      <c r="G260" s="115">
        <f>'Sampling Data'!F260</f>
        <v>0</v>
      </c>
      <c r="H260" s="115">
        <f>'Sampling Data'!G260</f>
        <v>0</v>
      </c>
      <c r="I260" s="115">
        <f>'Sampling Data'!H260</f>
        <v>0</v>
      </c>
      <c r="J260" s="115">
        <f>'Sampling Data'!I260</f>
        <v>0</v>
      </c>
      <c r="K260" s="115">
        <f>'Sampling Data'!J260</f>
        <v>0</v>
      </c>
      <c r="L260" s="115">
        <f>'Sampling Data'!K260</f>
        <v>0</v>
      </c>
      <c r="M260" s="115">
        <f>'Sampling Data'!L260</f>
        <v>0</v>
      </c>
      <c r="N260" s="115">
        <f>'Sampling Data'!M260</f>
        <v>0</v>
      </c>
      <c r="O260" s="114">
        <f>'Sampling Data'!N260</f>
        <v>0</v>
      </c>
      <c r="P260" s="114">
        <f>'Sampling Data'!O260</f>
        <v>0</v>
      </c>
      <c r="Q260" s="114">
        <f>'Sampling Data'!P260</f>
        <v>109</v>
      </c>
      <c r="R260" s="114">
        <f>'Sampling Data'!AJ260</f>
        <v>0</v>
      </c>
      <c r="S260" s="116"/>
      <c r="T260" s="116"/>
      <c r="U260" s="117"/>
      <c r="V260" s="117"/>
      <c r="W260" s="116"/>
      <c r="X260" s="116"/>
      <c r="Y260" s="116"/>
      <c r="Z260" s="116"/>
      <c r="AA260" s="15"/>
      <c r="AB260" s="15"/>
      <c r="AC260" s="15"/>
      <c r="AD260" s="15"/>
      <c r="AE260" s="118" t="str">
        <f>IF(NOT(ISBLANK(Audit[[#This Row],[Audit Winning Candidate]])), Audit[[#This Row],[Audit Winning Candidate]]-Audit[[#This Row],[Winning Candidate]], "")</f>
        <v/>
      </c>
      <c r="AF260" s="114" t="str">
        <f>IF(NOT(ISBLANK(Audit[[#This Row],[Audit Losing Candidate]])), Audit[[#This Row],[Audit Losing Candidate]]-Audit[[#This Row],[Losing Candidate]], "")</f>
        <v/>
      </c>
      <c r="AG260" s="114" t="str">
        <f>IF(NOT(ISBLANK(Audit[[#This Row],[Audit Candidate 3]])), Audit[[#This Row],[Audit Candidate 3]]-Audit[[#This Row],[Candidate 3]], "")</f>
        <v/>
      </c>
      <c r="AH260" s="114" t="str">
        <f>IF(NOT(ISBLANK(Audit[[#This Row],[Audit Candidate 4]])),Audit[[#This Row],[Audit Candidate 4]]-Audit[[#This Row],[Candidate 4]], "")</f>
        <v/>
      </c>
      <c r="AI260" s="114" t="str">
        <f>IF(NOT(ISBLANK(Audit[[#This Row],[Audit Candidate 5]])), Audit[[#This Row],[Audit Candidate 5]]-Audit[[#This Row],[Candidate 5]], "")</f>
        <v/>
      </c>
      <c r="AJ260" s="114" t="str">
        <f>IF(NOT(ISBLANK(Audit[[#This Row],[Audit Candidate 6]])), Audit[[#This Row],[Audit Candidate 6]]-Audit[[#This Row],[Candidate 6]], "")</f>
        <v/>
      </c>
      <c r="AK260" s="114" t="str">
        <f>IF(NOT(ISBLANK(Audit[[#This Row],[Audit Candidate 7]])), Audit[[#This Row],[Audit Candidate 7]]-Audit[[#This Row],[Candidate 7]], "")</f>
        <v/>
      </c>
      <c r="AL260" s="114" t="str">
        <f>IF(NOT(ISBLANK(Audit[[#This Row],[Audit Candidate 8]])), Audit[[#This Row],[Audit Candidate 8]]-Audit[[#This Row],[Candidate 8]], "")</f>
        <v/>
      </c>
      <c r="AM260" s="114" t="str">
        <f>IF(NOT(ISBLANK(Audit[[#This Row],[Audit Candidate 9]])), Audit[[#This Row],[Audit Candidate 9]]-Audit[[#This Row],[Candidate 9]], "")</f>
        <v/>
      </c>
      <c r="AN260" s="114" t="str">
        <f>IF(NOT(ISBLANK(Audit[[#This Row],[Audit Candidate 10]])), Audit[[#This Row],[Audit Candidate 10]]-Audit[[#This Row],[Candidate 10]], "")</f>
        <v/>
      </c>
      <c r="AO260" s="114" t="str">
        <f>IF(NOT(ISBLANK(Audit[[#This Row],[Audit Candidate 11]])), Audit[[#This Row],[Audit Candidate 11]]-Audit[[#This Row],[Candidate 11]], "")</f>
        <v/>
      </c>
      <c r="AP260" s="114" t="str">
        <f>IF(NOT(ISBLANK(Audit[[#This Row],[Audit Candidate 12]])), Audit[[#This Row],[Audit Candidate 12]]-Audit[[#This Row],[Candidate 12]], "")</f>
        <v/>
      </c>
      <c r="AQ260" s="114">
        <f>SUMIF(Audit[[#This Row],[Difference Winner]:[Difference Candidate 12]], "&gt;0")</f>
        <v>0</v>
      </c>
      <c r="AR260" s="114">
        <f>SUM(Audit[[#This Row],[Difference Winner]:[Difference Candidate 12]])</f>
        <v>0</v>
      </c>
      <c r="AS260" s="114">
        <f>IF(Audit[[#This Row],[Times p Drawn - With Replacement]]&gt;0, IF(Audit[[#This Row],[Canceled Differences]]&lt;0, Audit[[#This Row],[Max Differences]]+ABS(Audit[[#This Row],[Canceled Differences]]), Audit[[#This Row],[Max Differences]]), 0)</f>
        <v>0</v>
      </c>
      <c r="AT260" s="114">
        <f>'Sampling Data'!AB260</f>
        <v>1.3526325769546805E-2</v>
      </c>
      <c r="AU260" s="114">
        <f>IF(
      SUM(Audit[[#This Row],[Audit Losing Candidate]:[Audit Candidate 12]])
      &lt;&gt;0,
      (Audit[[#This Row],[Winning Candidate]]-Audit[[#This Row],[Losing Candidate]]-(Audit[[#This Row],[Audit Winning Candidate]]-Audit[[#This Row],[Audit Losing Candidate]]))/(Audit[[#Totals],[Winning Candidate]]-Audit[[#Totals],[Losing Candidate]]),
      0
)</f>
        <v>0</v>
      </c>
      <c r="AV2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0" s="114">
        <f>IF(Audit[[#This Row],[Max Relative Error (ep)]] = 0, 0, Audit[[#This Row],[Max Relative Error (ep)]]/Audit[[#This Row],[Error Bound (up) - Max. possible relative overstatement]])</f>
        <v>0</v>
      </c>
      <c r="BH2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0" s="114">
        <f t="shared" si="4"/>
        <v>1</v>
      </c>
      <c r="BJ260" s="114">
        <f>PRODUCT($BI$5:BI260)</f>
        <v>0.20973752198051165</v>
      </c>
      <c r="BK260" s="112">
        <f>1 - Audit[[#This Row],[K-M P Value]]</f>
        <v>0.79026247801948835</v>
      </c>
      <c r="BL260" s="114" t="str">
        <f>IF(Audit[[#This Row],[K-M P Value]]&gt;1-'General Info'!$B$12,"Continue", "Stop")</f>
        <v>Continue</v>
      </c>
      <c r="BM260" s="113" t="b">
        <f>IF(Audit[[#This Row],[Status - Continue or stop audit]] = "Continue", TRUE, IF(BL259 = "Continue", TRUE, FALSE))</f>
        <v>1</v>
      </c>
      <c r="BN260" s="113"/>
    </row>
    <row r="261" spans="1:66" ht="15" hidden="1" customHeight="1" x14ac:dyDescent="0.35">
      <c r="A261" s="114" t="str">
        <f>'Sampling Data'!AI261</f>
        <v/>
      </c>
      <c r="B261" s="114" t="str">
        <f>'Sampling Data'!A261</f>
        <v>0901 CIN 9-A   (ED)</v>
      </c>
      <c r="C261" s="114">
        <f>'Sampling Data'!B261</f>
        <v>28</v>
      </c>
      <c r="D261" s="114">
        <f>'Sampling Data'!C261</f>
        <v>3</v>
      </c>
      <c r="E261" s="115">
        <f>'Sampling Data'!D261</f>
        <v>0</v>
      </c>
      <c r="F261" s="115">
        <f>'Sampling Data'!E261</f>
        <v>0</v>
      </c>
      <c r="G261" s="115">
        <f>'Sampling Data'!F261</f>
        <v>0</v>
      </c>
      <c r="H261" s="115">
        <f>'Sampling Data'!G261</f>
        <v>0</v>
      </c>
      <c r="I261" s="115">
        <f>'Sampling Data'!H261</f>
        <v>0</v>
      </c>
      <c r="J261" s="115">
        <f>'Sampling Data'!I261</f>
        <v>0</v>
      </c>
      <c r="K261" s="115">
        <f>'Sampling Data'!J261</f>
        <v>0</v>
      </c>
      <c r="L261" s="115">
        <f>'Sampling Data'!K261</f>
        <v>0</v>
      </c>
      <c r="M261" s="115">
        <f>'Sampling Data'!L261</f>
        <v>0</v>
      </c>
      <c r="N261" s="115">
        <f>'Sampling Data'!M261</f>
        <v>0</v>
      </c>
      <c r="O261" s="114">
        <f>'Sampling Data'!N261</f>
        <v>0</v>
      </c>
      <c r="P261" s="114">
        <f>'Sampling Data'!O261</f>
        <v>0</v>
      </c>
      <c r="Q261" s="114">
        <f>'Sampling Data'!P261</f>
        <v>31</v>
      </c>
      <c r="R261" s="114">
        <f>'Sampling Data'!AJ261</f>
        <v>0</v>
      </c>
      <c r="S261" s="116"/>
      <c r="T261" s="116"/>
      <c r="U261" s="117"/>
      <c r="V261" s="117"/>
      <c r="W261" s="116"/>
      <c r="X261" s="116"/>
      <c r="Y261" s="116"/>
      <c r="Z261" s="116"/>
      <c r="AA261" s="15"/>
      <c r="AB261" s="15"/>
      <c r="AC261" s="15"/>
      <c r="AD261" s="15"/>
      <c r="AE261" s="118" t="str">
        <f>IF(NOT(ISBLANK(Audit[[#This Row],[Audit Winning Candidate]])), Audit[[#This Row],[Audit Winning Candidate]]-Audit[[#This Row],[Winning Candidate]], "")</f>
        <v/>
      </c>
      <c r="AF261" s="114" t="str">
        <f>IF(NOT(ISBLANK(Audit[[#This Row],[Audit Losing Candidate]])), Audit[[#This Row],[Audit Losing Candidate]]-Audit[[#This Row],[Losing Candidate]], "")</f>
        <v/>
      </c>
      <c r="AG261" s="114" t="str">
        <f>IF(NOT(ISBLANK(Audit[[#This Row],[Audit Candidate 3]])), Audit[[#This Row],[Audit Candidate 3]]-Audit[[#This Row],[Candidate 3]], "")</f>
        <v/>
      </c>
      <c r="AH261" s="114" t="str">
        <f>IF(NOT(ISBLANK(Audit[[#This Row],[Audit Candidate 4]])),Audit[[#This Row],[Audit Candidate 4]]-Audit[[#This Row],[Candidate 4]], "")</f>
        <v/>
      </c>
      <c r="AI261" s="114" t="str">
        <f>IF(NOT(ISBLANK(Audit[[#This Row],[Audit Candidate 5]])), Audit[[#This Row],[Audit Candidate 5]]-Audit[[#This Row],[Candidate 5]], "")</f>
        <v/>
      </c>
      <c r="AJ261" s="114" t="str">
        <f>IF(NOT(ISBLANK(Audit[[#This Row],[Audit Candidate 6]])), Audit[[#This Row],[Audit Candidate 6]]-Audit[[#This Row],[Candidate 6]], "")</f>
        <v/>
      </c>
      <c r="AK261" s="114" t="str">
        <f>IF(NOT(ISBLANK(Audit[[#This Row],[Audit Candidate 7]])), Audit[[#This Row],[Audit Candidate 7]]-Audit[[#This Row],[Candidate 7]], "")</f>
        <v/>
      </c>
      <c r="AL261" s="114" t="str">
        <f>IF(NOT(ISBLANK(Audit[[#This Row],[Audit Candidate 8]])), Audit[[#This Row],[Audit Candidate 8]]-Audit[[#This Row],[Candidate 8]], "")</f>
        <v/>
      </c>
      <c r="AM261" s="114" t="str">
        <f>IF(NOT(ISBLANK(Audit[[#This Row],[Audit Candidate 9]])), Audit[[#This Row],[Audit Candidate 9]]-Audit[[#This Row],[Candidate 9]], "")</f>
        <v/>
      </c>
      <c r="AN261" s="114" t="str">
        <f>IF(NOT(ISBLANK(Audit[[#This Row],[Audit Candidate 10]])), Audit[[#This Row],[Audit Candidate 10]]-Audit[[#This Row],[Candidate 10]], "")</f>
        <v/>
      </c>
      <c r="AO261" s="114" t="str">
        <f>IF(NOT(ISBLANK(Audit[[#This Row],[Audit Candidate 11]])), Audit[[#This Row],[Audit Candidate 11]]-Audit[[#This Row],[Candidate 11]], "")</f>
        <v/>
      </c>
      <c r="AP261" s="114" t="str">
        <f>IF(NOT(ISBLANK(Audit[[#This Row],[Audit Candidate 12]])), Audit[[#This Row],[Audit Candidate 12]]-Audit[[#This Row],[Candidate 12]], "")</f>
        <v/>
      </c>
      <c r="AQ261" s="114">
        <f>SUMIF(Audit[[#This Row],[Difference Winner]:[Difference Candidate 12]], "&gt;0")</f>
        <v>0</v>
      </c>
      <c r="AR261" s="114">
        <f>SUM(Audit[[#This Row],[Difference Winner]:[Difference Candidate 12]])</f>
        <v>0</v>
      </c>
      <c r="AS261" s="114">
        <f>IF(Audit[[#This Row],[Times p Drawn - With Replacement]]&gt;0, IF(Audit[[#This Row],[Canceled Differences]]&lt;0, Audit[[#This Row],[Max Differences]]+ABS(Audit[[#This Row],[Canceled Differences]]), Audit[[#This Row],[Max Differences]]), 0)</f>
        <v>0</v>
      </c>
      <c r="AT261" s="114">
        <f>'Sampling Data'!AB261</f>
        <v>3.5395992667972948E-3</v>
      </c>
      <c r="AU261" s="114">
        <f>IF(
      SUM(Audit[[#This Row],[Audit Losing Candidate]:[Audit Candidate 12]])
      &lt;&gt;0,
      (Audit[[#This Row],[Winning Candidate]]-Audit[[#This Row],[Losing Candidate]]-(Audit[[#This Row],[Audit Winning Candidate]]-Audit[[#This Row],[Audit Losing Candidate]]))/(Audit[[#Totals],[Winning Candidate]]-Audit[[#Totals],[Losing Candidate]]),
      0
)</f>
        <v>0</v>
      </c>
      <c r="AV2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1" s="114">
        <f>IF(Audit[[#This Row],[Max Relative Error (ep)]] = 0, 0, Audit[[#This Row],[Max Relative Error (ep)]]/Audit[[#This Row],[Error Bound (up) - Max. possible relative overstatement]])</f>
        <v>0</v>
      </c>
      <c r="BH2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1" s="114">
        <f t="shared" si="4"/>
        <v>1</v>
      </c>
      <c r="BJ261" s="114">
        <f>PRODUCT($BI$5:BI261)</f>
        <v>0.20973752198051165</v>
      </c>
      <c r="BK261" s="112">
        <f>1 - Audit[[#This Row],[K-M P Value]]</f>
        <v>0.79026247801948835</v>
      </c>
      <c r="BL261" s="114" t="str">
        <f>IF(Audit[[#This Row],[K-M P Value]]&gt;1-'General Info'!$B$12,"Continue", "Stop")</f>
        <v>Continue</v>
      </c>
      <c r="BM261" s="113" t="b">
        <f>IF(Audit[[#This Row],[Status - Continue or stop audit]] = "Continue", TRUE, IF(BL260 = "Continue", TRUE, FALSE))</f>
        <v>1</v>
      </c>
      <c r="BN261" s="113"/>
    </row>
    <row r="262" spans="1:66" ht="15" hidden="1" customHeight="1" x14ac:dyDescent="0.35">
      <c r="A262" s="114" t="str">
        <f>'Sampling Data'!AI262</f>
        <v/>
      </c>
      <c r="B262" s="114" t="str">
        <f>'Sampling Data'!A262</f>
        <v>0902 CIN 9-B   (ED)</v>
      </c>
      <c r="C262" s="114">
        <f>'Sampling Data'!B262</f>
        <v>175</v>
      </c>
      <c r="D262" s="114">
        <f>'Sampling Data'!C262</f>
        <v>12</v>
      </c>
      <c r="E262" s="115">
        <f>'Sampling Data'!D262</f>
        <v>16</v>
      </c>
      <c r="F262" s="115">
        <f>'Sampling Data'!E262</f>
        <v>0</v>
      </c>
      <c r="G262" s="115">
        <f>'Sampling Data'!F262</f>
        <v>0</v>
      </c>
      <c r="H262" s="115">
        <f>'Sampling Data'!G262</f>
        <v>0</v>
      </c>
      <c r="I262" s="115">
        <f>'Sampling Data'!H262</f>
        <v>0</v>
      </c>
      <c r="J262" s="115">
        <f>'Sampling Data'!I262</f>
        <v>0</v>
      </c>
      <c r="K262" s="115">
        <f>'Sampling Data'!J262</f>
        <v>0</v>
      </c>
      <c r="L262" s="115">
        <f>'Sampling Data'!K262</f>
        <v>0</v>
      </c>
      <c r="M262" s="115">
        <f>'Sampling Data'!L262</f>
        <v>0</v>
      </c>
      <c r="N262" s="115">
        <f>'Sampling Data'!M262</f>
        <v>0</v>
      </c>
      <c r="O262" s="114">
        <f>'Sampling Data'!N262</f>
        <v>0</v>
      </c>
      <c r="P262" s="114">
        <f>'Sampling Data'!O262</f>
        <v>0</v>
      </c>
      <c r="Q262" s="114">
        <f>'Sampling Data'!P262</f>
        <v>203</v>
      </c>
      <c r="R262" s="114">
        <f>'Sampling Data'!AJ262</f>
        <v>0</v>
      </c>
      <c r="S262" s="116"/>
      <c r="T262" s="116"/>
      <c r="U262" s="117"/>
      <c r="V262" s="117"/>
      <c r="W262" s="116"/>
      <c r="X262" s="116"/>
      <c r="Y262" s="116"/>
      <c r="Z262" s="116"/>
      <c r="AA262" s="15"/>
      <c r="AB262" s="15"/>
      <c r="AC262" s="15"/>
      <c r="AD262" s="15"/>
      <c r="AE262" s="118" t="str">
        <f>IF(NOT(ISBLANK(Audit[[#This Row],[Audit Winning Candidate]])), Audit[[#This Row],[Audit Winning Candidate]]-Audit[[#This Row],[Winning Candidate]], "")</f>
        <v/>
      </c>
      <c r="AF262" s="114" t="str">
        <f>IF(NOT(ISBLANK(Audit[[#This Row],[Audit Losing Candidate]])), Audit[[#This Row],[Audit Losing Candidate]]-Audit[[#This Row],[Losing Candidate]], "")</f>
        <v/>
      </c>
      <c r="AG262" s="114" t="str">
        <f>IF(NOT(ISBLANK(Audit[[#This Row],[Audit Candidate 3]])), Audit[[#This Row],[Audit Candidate 3]]-Audit[[#This Row],[Candidate 3]], "")</f>
        <v/>
      </c>
      <c r="AH262" s="114" t="str">
        <f>IF(NOT(ISBLANK(Audit[[#This Row],[Audit Candidate 4]])),Audit[[#This Row],[Audit Candidate 4]]-Audit[[#This Row],[Candidate 4]], "")</f>
        <v/>
      </c>
      <c r="AI262" s="114" t="str">
        <f>IF(NOT(ISBLANK(Audit[[#This Row],[Audit Candidate 5]])), Audit[[#This Row],[Audit Candidate 5]]-Audit[[#This Row],[Candidate 5]], "")</f>
        <v/>
      </c>
      <c r="AJ262" s="114" t="str">
        <f>IF(NOT(ISBLANK(Audit[[#This Row],[Audit Candidate 6]])), Audit[[#This Row],[Audit Candidate 6]]-Audit[[#This Row],[Candidate 6]], "")</f>
        <v/>
      </c>
      <c r="AK262" s="114" t="str">
        <f>IF(NOT(ISBLANK(Audit[[#This Row],[Audit Candidate 7]])), Audit[[#This Row],[Audit Candidate 7]]-Audit[[#This Row],[Candidate 7]], "")</f>
        <v/>
      </c>
      <c r="AL262" s="114" t="str">
        <f>IF(NOT(ISBLANK(Audit[[#This Row],[Audit Candidate 8]])), Audit[[#This Row],[Audit Candidate 8]]-Audit[[#This Row],[Candidate 8]], "")</f>
        <v/>
      </c>
      <c r="AM262" s="114" t="str">
        <f>IF(NOT(ISBLANK(Audit[[#This Row],[Audit Candidate 9]])), Audit[[#This Row],[Audit Candidate 9]]-Audit[[#This Row],[Candidate 9]], "")</f>
        <v/>
      </c>
      <c r="AN262" s="114" t="str">
        <f>IF(NOT(ISBLANK(Audit[[#This Row],[Audit Candidate 10]])), Audit[[#This Row],[Audit Candidate 10]]-Audit[[#This Row],[Candidate 10]], "")</f>
        <v/>
      </c>
      <c r="AO262" s="114" t="str">
        <f>IF(NOT(ISBLANK(Audit[[#This Row],[Audit Candidate 11]])), Audit[[#This Row],[Audit Candidate 11]]-Audit[[#This Row],[Candidate 11]], "")</f>
        <v/>
      </c>
      <c r="AP262" s="114" t="str">
        <f>IF(NOT(ISBLANK(Audit[[#This Row],[Audit Candidate 12]])), Audit[[#This Row],[Audit Candidate 12]]-Audit[[#This Row],[Candidate 12]], "")</f>
        <v/>
      </c>
      <c r="AQ262" s="114">
        <f>SUMIF(Audit[[#This Row],[Difference Winner]:[Difference Candidate 12]], "&gt;0")</f>
        <v>0</v>
      </c>
      <c r="AR262" s="114">
        <f>SUM(Audit[[#This Row],[Difference Winner]:[Difference Candidate 12]])</f>
        <v>0</v>
      </c>
      <c r="AS262" s="114">
        <f>IF(Audit[[#This Row],[Times p Drawn - With Replacement]]&gt;0, IF(Audit[[#This Row],[Canceled Differences]]&lt;0, Audit[[#This Row],[Max Differences]]+ABS(Audit[[#This Row],[Canceled Differences]]), Audit[[#This Row],[Max Differences]]), 0)</f>
        <v>0</v>
      </c>
      <c r="AT262" s="114">
        <f>'Sampling Data'!AB262</f>
        <v>2.313380949371089E-2</v>
      </c>
      <c r="AU262" s="114">
        <f>IF(
      SUM(Audit[[#This Row],[Audit Losing Candidate]:[Audit Candidate 12]])
      &lt;&gt;0,
      (Audit[[#This Row],[Winning Candidate]]-Audit[[#This Row],[Losing Candidate]]-(Audit[[#This Row],[Audit Winning Candidate]]-Audit[[#This Row],[Audit Losing Candidate]]))/(Audit[[#Totals],[Winning Candidate]]-Audit[[#Totals],[Losing Candidate]]),
      0
)</f>
        <v>0</v>
      </c>
      <c r="AV2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2" s="114">
        <f>IF(Audit[[#This Row],[Max Relative Error (ep)]] = 0, 0, Audit[[#This Row],[Max Relative Error (ep)]]/Audit[[#This Row],[Error Bound (up) - Max. possible relative overstatement]])</f>
        <v>0</v>
      </c>
      <c r="BH2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2" s="114">
        <f t="shared" si="4"/>
        <v>1</v>
      </c>
      <c r="BJ262" s="114">
        <f>PRODUCT($BI$5:BI262)</f>
        <v>0.20973752198051165</v>
      </c>
      <c r="BK262" s="112">
        <f>1 - Audit[[#This Row],[K-M P Value]]</f>
        <v>0.79026247801948835</v>
      </c>
      <c r="BL262" s="114" t="str">
        <f>IF(Audit[[#This Row],[K-M P Value]]&gt;1-'General Info'!$B$12,"Continue", "Stop")</f>
        <v>Continue</v>
      </c>
      <c r="BM262" s="113" t="b">
        <f>IF(Audit[[#This Row],[Status - Continue or stop audit]] = "Continue", TRUE, IF(BL261 = "Continue", TRUE, FALSE))</f>
        <v>1</v>
      </c>
      <c r="BN262" s="113"/>
    </row>
    <row r="263" spans="1:66" ht="15" hidden="1" customHeight="1" x14ac:dyDescent="0.35">
      <c r="A263" s="114" t="str">
        <f>'Sampling Data'!AI263</f>
        <v/>
      </c>
      <c r="B263" s="114" t="str">
        <f>'Sampling Data'!A263</f>
        <v>0903 CIN 9-C   (ED)</v>
      </c>
      <c r="C263" s="114">
        <f>'Sampling Data'!B263</f>
        <v>64</v>
      </c>
      <c r="D263" s="114">
        <f>'Sampling Data'!C263</f>
        <v>7</v>
      </c>
      <c r="E263" s="115">
        <f>'Sampling Data'!D263</f>
        <v>0</v>
      </c>
      <c r="F263" s="115">
        <f>'Sampling Data'!E263</f>
        <v>0</v>
      </c>
      <c r="G263" s="115">
        <f>'Sampling Data'!F263</f>
        <v>0</v>
      </c>
      <c r="H263" s="115">
        <f>'Sampling Data'!G263</f>
        <v>0</v>
      </c>
      <c r="I263" s="115">
        <f>'Sampling Data'!H263</f>
        <v>0</v>
      </c>
      <c r="J263" s="115">
        <f>'Sampling Data'!I263</f>
        <v>0</v>
      </c>
      <c r="K263" s="115">
        <f>'Sampling Data'!J263</f>
        <v>0</v>
      </c>
      <c r="L263" s="115">
        <f>'Sampling Data'!K263</f>
        <v>0</v>
      </c>
      <c r="M263" s="115">
        <f>'Sampling Data'!L263</f>
        <v>0</v>
      </c>
      <c r="N263" s="115">
        <f>'Sampling Data'!M263</f>
        <v>0</v>
      </c>
      <c r="O263" s="114">
        <f>'Sampling Data'!N263</f>
        <v>0</v>
      </c>
      <c r="P263" s="114">
        <f>'Sampling Data'!O263</f>
        <v>0</v>
      </c>
      <c r="Q263" s="114">
        <f>'Sampling Data'!P263</f>
        <v>71</v>
      </c>
      <c r="R263" s="114">
        <f>'Sampling Data'!AJ263</f>
        <v>0</v>
      </c>
      <c r="S263" s="116"/>
      <c r="T263" s="116"/>
      <c r="U263" s="117"/>
      <c r="V263" s="117"/>
      <c r="W263" s="116"/>
      <c r="X263" s="116"/>
      <c r="Y263" s="116"/>
      <c r="Z263" s="116"/>
      <c r="AA263" s="15"/>
      <c r="AB263" s="15"/>
      <c r="AC263" s="15"/>
      <c r="AD263" s="15"/>
      <c r="AE263" s="118" t="str">
        <f>IF(NOT(ISBLANK(Audit[[#This Row],[Audit Winning Candidate]])), Audit[[#This Row],[Audit Winning Candidate]]-Audit[[#This Row],[Winning Candidate]], "")</f>
        <v/>
      </c>
      <c r="AF263" s="114" t="str">
        <f>IF(NOT(ISBLANK(Audit[[#This Row],[Audit Losing Candidate]])), Audit[[#This Row],[Audit Losing Candidate]]-Audit[[#This Row],[Losing Candidate]], "")</f>
        <v/>
      </c>
      <c r="AG263" s="114" t="str">
        <f>IF(NOT(ISBLANK(Audit[[#This Row],[Audit Candidate 3]])), Audit[[#This Row],[Audit Candidate 3]]-Audit[[#This Row],[Candidate 3]], "")</f>
        <v/>
      </c>
      <c r="AH263" s="114" t="str">
        <f>IF(NOT(ISBLANK(Audit[[#This Row],[Audit Candidate 4]])),Audit[[#This Row],[Audit Candidate 4]]-Audit[[#This Row],[Candidate 4]], "")</f>
        <v/>
      </c>
      <c r="AI263" s="114" t="str">
        <f>IF(NOT(ISBLANK(Audit[[#This Row],[Audit Candidate 5]])), Audit[[#This Row],[Audit Candidate 5]]-Audit[[#This Row],[Candidate 5]], "")</f>
        <v/>
      </c>
      <c r="AJ263" s="114" t="str">
        <f>IF(NOT(ISBLANK(Audit[[#This Row],[Audit Candidate 6]])), Audit[[#This Row],[Audit Candidate 6]]-Audit[[#This Row],[Candidate 6]], "")</f>
        <v/>
      </c>
      <c r="AK263" s="114" t="str">
        <f>IF(NOT(ISBLANK(Audit[[#This Row],[Audit Candidate 7]])), Audit[[#This Row],[Audit Candidate 7]]-Audit[[#This Row],[Candidate 7]], "")</f>
        <v/>
      </c>
      <c r="AL263" s="114" t="str">
        <f>IF(NOT(ISBLANK(Audit[[#This Row],[Audit Candidate 8]])), Audit[[#This Row],[Audit Candidate 8]]-Audit[[#This Row],[Candidate 8]], "")</f>
        <v/>
      </c>
      <c r="AM263" s="114" t="str">
        <f>IF(NOT(ISBLANK(Audit[[#This Row],[Audit Candidate 9]])), Audit[[#This Row],[Audit Candidate 9]]-Audit[[#This Row],[Candidate 9]], "")</f>
        <v/>
      </c>
      <c r="AN263" s="114" t="str">
        <f>IF(NOT(ISBLANK(Audit[[#This Row],[Audit Candidate 10]])), Audit[[#This Row],[Audit Candidate 10]]-Audit[[#This Row],[Candidate 10]], "")</f>
        <v/>
      </c>
      <c r="AO263" s="114" t="str">
        <f>IF(NOT(ISBLANK(Audit[[#This Row],[Audit Candidate 11]])), Audit[[#This Row],[Audit Candidate 11]]-Audit[[#This Row],[Candidate 11]], "")</f>
        <v/>
      </c>
      <c r="AP263" s="114" t="str">
        <f>IF(NOT(ISBLANK(Audit[[#This Row],[Audit Candidate 12]])), Audit[[#This Row],[Audit Candidate 12]]-Audit[[#This Row],[Candidate 12]], "")</f>
        <v/>
      </c>
      <c r="AQ263" s="114">
        <f>SUMIF(Audit[[#This Row],[Difference Winner]:[Difference Candidate 12]], "&gt;0")</f>
        <v>0</v>
      </c>
      <c r="AR263" s="114">
        <f>SUM(Audit[[#This Row],[Difference Winner]:[Difference Candidate 12]])</f>
        <v>0</v>
      </c>
      <c r="AS263" s="114">
        <f>IF(Audit[[#This Row],[Times p Drawn - With Replacement]]&gt;0, IF(Audit[[#This Row],[Canceled Differences]]&lt;0, Audit[[#This Row],[Max Differences]]+ABS(Audit[[#This Row],[Canceled Differences]]), Audit[[#This Row],[Max Differences]]), 0)</f>
        <v>0</v>
      </c>
      <c r="AT263" s="114">
        <f>'Sampling Data'!AB263</f>
        <v>8.0905126098223881E-3</v>
      </c>
      <c r="AU263" s="114">
        <f>IF(
      SUM(Audit[[#This Row],[Audit Losing Candidate]:[Audit Candidate 12]])
      &lt;&gt;0,
      (Audit[[#This Row],[Winning Candidate]]-Audit[[#This Row],[Losing Candidate]]-(Audit[[#This Row],[Audit Winning Candidate]]-Audit[[#This Row],[Audit Losing Candidate]]))/(Audit[[#Totals],[Winning Candidate]]-Audit[[#Totals],[Losing Candidate]]),
      0
)</f>
        <v>0</v>
      </c>
      <c r="AV2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3" s="114">
        <f>IF(Audit[[#This Row],[Max Relative Error (ep)]] = 0, 0, Audit[[#This Row],[Max Relative Error (ep)]]/Audit[[#This Row],[Error Bound (up) - Max. possible relative overstatement]])</f>
        <v>0</v>
      </c>
      <c r="BH2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3" s="114">
        <f t="shared" si="4"/>
        <v>1</v>
      </c>
      <c r="BJ263" s="114">
        <f>PRODUCT($BI$5:BI263)</f>
        <v>0.20973752198051165</v>
      </c>
      <c r="BK263" s="112">
        <f>1 - Audit[[#This Row],[K-M P Value]]</f>
        <v>0.79026247801948835</v>
      </c>
      <c r="BL263" s="114" t="str">
        <f>IF(Audit[[#This Row],[K-M P Value]]&gt;1-'General Info'!$B$12,"Continue", "Stop")</f>
        <v>Continue</v>
      </c>
      <c r="BM263" s="113" t="b">
        <f>IF(Audit[[#This Row],[Status - Continue or stop audit]] = "Continue", TRUE, IF(BL262 = "Continue", TRUE, FALSE))</f>
        <v>1</v>
      </c>
      <c r="BN263" s="113"/>
    </row>
    <row r="264" spans="1:66" ht="15" hidden="1" customHeight="1" x14ac:dyDescent="0.35">
      <c r="A264" s="114" t="str">
        <f>'Sampling Data'!AI264</f>
        <v/>
      </c>
      <c r="B264" s="114" t="str">
        <f>'Sampling Data'!A264</f>
        <v>0904 CIN 9-D   (ED)</v>
      </c>
      <c r="C264" s="114">
        <f>'Sampling Data'!B264</f>
        <v>46</v>
      </c>
      <c r="D264" s="114">
        <f>'Sampling Data'!C264</f>
        <v>2</v>
      </c>
      <c r="E264" s="115">
        <f>'Sampling Data'!D264</f>
        <v>0</v>
      </c>
      <c r="F264" s="115">
        <f>'Sampling Data'!E264</f>
        <v>0</v>
      </c>
      <c r="G264" s="115">
        <f>'Sampling Data'!F264</f>
        <v>0</v>
      </c>
      <c r="H264" s="115">
        <f>'Sampling Data'!G264</f>
        <v>0</v>
      </c>
      <c r="I264" s="115">
        <f>'Sampling Data'!H264</f>
        <v>0</v>
      </c>
      <c r="J264" s="115">
        <f>'Sampling Data'!I264</f>
        <v>0</v>
      </c>
      <c r="K264" s="115">
        <f>'Sampling Data'!J264</f>
        <v>0</v>
      </c>
      <c r="L264" s="115">
        <f>'Sampling Data'!K264</f>
        <v>0</v>
      </c>
      <c r="M264" s="115">
        <f>'Sampling Data'!L264</f>
        <v>0</v>
      </c>
      <c r="N264" s="115">
        <f>'Sampling Data'!M264</f>
        <v>0</v>
      </c>
      <c r="O264" s="114">
        <f>'Sampling Data'!N264</f>
        <v>0</v>
      </c>
      <c r="P264" s="114">
        <f>'Sampling Data'!O264</f>
        <v>0</v>
      </c>
      <c r="Q264" s="114">
        <f>'Sampling Data'!P264</f>
        <v>48</v>
      </c>
      <c r="R264" s="114">
        <f>'Sampling Data'!AJ264</f>
        <v>0</v>
      </c>
      <c r="S264" s="116"/>
      <c r="T264" s="116"/>
      <c r="U264" s="117"/>
      <c r="V264" s="117"/>
      <c r="W264" s="116"/>
      <c r="X264" s="116"/>
      <c r="Y264" s="116"/>
      <c r="Z264" s="116"/>
      <c r="AA264" s="15"/>
      <c r="AB264" s="15"/>
      <c r="AC264" s="15"/>
      <c r="AD264" s="15"/>
      <c r="AE264" s="118" t="str">
        <f>IF(NOT(ISBLANK(Audit[[#This Row],[Audit Winning Candidate]])), Audit[[#This Row],[Audit Winning Candidate]]-Audit[[#This Row],[Winning Candidate]], "")</f>
        <v/>
      </c>
      <c r="AF264" s="114" t="str">
        <f>IF(NOT(ISBLANK(Audit[[#This Row],[Audit Losing Candidate]])), Audit[[#This Row],[Audit Losing Candidate]]-Audit[[#This Row],[Losing Candidate]], "")</f>
        <v/>
      </c>
      <c r="AG264" s="114" t="str">
        <f>IF(NOT(ISBLANK(Audit[[#This Row],[Audit Candidate 3]])), Audit[[#This Row],[Audit Candidate 3]]-Audit[[#This Row],[Candidate 3]], "")</f>
        <v/>
      </c>
      <c r="AH264" s="114" t="str">
        <f>IF(NOT(ISBLANK(Audit[[#This Row],[Audit Candidate 4]])),Audit[[#This Row],[Audit Candidate 4]]-Audit[[#This Row],[Candidate 4]], "")</f>
        <v/>
      </c>
      <c r="AI264" s="114" t="str">
        <f>IF(NOT(ISBLANK(Audit[[#This Row],[Audit Candidate 5]])), Audit[[#This Row],[Audit Candidate 5]]-Audit[[#This Row],[Candidate 5]], "")</f>
        <v/>
      </c>
      <c r="AJ264" s="114" t="str">
        <f>IF(NOT(ISBLANK(Audit[[#This Row],[Audit Candidate 6]])), Audit[[#This Row],[Audit Candidate 6]]-Audit[[#This Row],[Candidate 6]], "")</f>
        <v/>
      </c>
      <c r="AK264" s="114" t="str">
        <f>IF(NOT(ISBLANK(Audit[[#This Row],[Audit Candidate 7]])), Audit[[#This Row],[Audit Candidate 7]]-Audit[[#This Row],[Candidate 7]], "")</f>
        <v/>
      </c>
      <c r="AL264" s="114" t="str">
        <f>IF(NOT(ISBLANK(Audit[[#This Row],[Audit Candidate 8]])), Audit[[#This Row],[Audit Candidate 8]]-Audit[[#This Row],[Candidate 8]], "")</f>
        <v/>
      </c>
      <c r="AM264" s="114" t="str">
        <f>IF(NOT(ISBLANK(Audit[[#This Row],[Audit Candidate 9]])), Audit[[#This Row],[Audit Candidate 9]]-Audit[[#This Row],[Candidate 9]], "")</f>
        <v/>
      </c>
      <c r="AN264" s="114" t="str">
        <f>IF(NOT(ISBLANK(Audit[[#This Row],[Audit Candidate 10]])), Audit[[#This Row],[Audit Candidate 10]]-Audit[[#This Row],[Candidate 10]], "")</f>
        <v/>
      </c>
      <c r="AO264" s="114" t="str">
        <f>IF(NOT(ISBLANK(Audit[[#This Row],[Audit Candidate 11]])), Audit[[#This Row],[Audit Candidate 11]]-Audit[[#This Row],[Candidate 11]], "")</f>
        <v/>
      </c>
      <c r="AP264" s="114" t="str">
        <f>IF(NOT(ISBLANK(Audit[[#This Row],[Audit Candidate 12]])), Audit[[#This Row],[Audit Candidate 12]]-Audit[[#This Row],[Candidate 12]], "")</f>
        <v/>
      </c>
      <c r="AQ264" s="114">
        <f>SUMIF(Audit[[#This Row],[Difference Winner]:[Difference Candidate 12]], "&gt;0")</f>
        <v>0</v>
      </c>
      <c r="AR264" s="114">
        <f>SUM(Audit[[#This Row],[Difference Winner]:[Difference Candidate 12]])</f>
        <v>0</v>
      </c>
      <c r="AS264" s="114">
        <f>IF(Audit[[#This Row],[Times p Drawn - With Replacement]]&gt;0, IF(Audit[[#This Row],[Canceled Differences]]&lt;0, Audit[[#This Row],[Max Differences]]+ABS(Audit[[#This Row],[Canceled Differences]]), Audit[[#This Row],[Max Differences]]), 0)</f>
        <v>0</v>
      </c>
      <c r="AT264" s="114">
        <f>'Sampling Data'!AB264</f>
        <v>5.8150559383098417E-3</v>
      </c>
      <c r="AU264" s="114">
        <f>IF(
      SUM(Audit[[#This Row],[Audit Losing Candidate]:[Audit Candidate 12]])
      &lt;&gt;0,
      (Audit[[#This Row],[Winning Candidate]]-Audit[[#This Row],[Losing Candidate]]-(Audit[[#This Row],[Audit Winning Candidate]]-Audit[[#This Row],[Audit Losing Candidate]]))/(Audit[[#Totals],[Winning Candidate]]-Audit[[#Totals],[Losing Candidate]]),
      0
)</f>
        <v>0</v>
      </c>
      <c r="AV2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4" s="114">
        <f>IF(Audit[[#This Row],[Max Relative Error (ep)]] = 0, 0, Audit[[#This Row],[Max Relative Error (ep)]]/Audit[[#This Row],[Error Bound (up) - Max. possible relative overstatement]])</f>
        <v>0</v>
      </c>
      <c r="BH2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4" s="114">
        <f t="shared" si="4"/>
        <v>1</v>
      </c>
      <c r="BJ264" s="114">
        <f>PRODUCT($BI$5:BI264)</f>
        <v>0.20973752198051165</v>
      </c>
      <c r="BK264" s="112">
        <f>1 - Audit[[#This Row],[K-M P Value]]</f>
        <v>0.79026247801948835</v>
      </c>
      <c r="BL264" s="114" t="str">
        <f>IF(Audit[[#This Row],[K-M P Value]]&gt;1-'General Info'!$B$12,"Continue", "Stop")</f>
        <v>Continue</v>
      </c>
      <c r="BM264" s="113" t="b">
        <f>IF(Audit[[#This Row],[Status - Continue or stop audit]] = "Continue", TRUE, IF(BL263 = "Continue", TRUE, FALSE))</f>
        <v>1</v>
      </c>
      <c r="BN264" s="113"/>
    </row>
    <row r="265" spans="1:66" ht="15" hidden="1" customHeight="1" x14ac:dyDescent="0.35">
      <c r="A265" s="114" t="str">
        <f>'Sampling Data'!AI265</f>
        <v/>
      </c>
      <c r="B265" s="114" t="str">
        <f>'Sampling Data'!A265</f>
        <v>1001 CIN 10-A   (ED)</v>
      </c>
      <c r="C265" s="114">
        <f>'Sampling Data'!B265</f>
        <v>105</v>
      </c>
      <c r="D265" s="114">
        <f>'Sampling Data'!C265</f>
        <v>25</v>
      </c>
      <c r="E265" s="115">
        <f>'Sampling Data'!D265</f>
        <v>4</v>
      </c>
      <c r="F265" s="115">
        <f>'Sampling Data'!E265</f>
        <v>0</v>
      </c>
      <c r="G265" s="115">
        <f>'Sampling Data'!F265</f>
        <v>0</v>
      </c>
      <c r="H265" s="115">
        <f>'Sampling Data'!G265</f>
        <v>0</v>
      </c>
      <c r="I265" s="115">
        <f>'Sampling Data'!H265</f>
        <v>0</v>
      </c>
      <c r="J265" s="115">
        <f>'Sampling Data'!I265</f>
        <v>0</v>
      </c>
      <c r="K265" s="115">
        <f>'Sampling Data'!J265</f>
        <v>0</v>
      </c>
      <c r="L265" s="115">
        <f>'Sampling Data'!K265</f>
        <v>0</v>
      </c>
      <c r="M265" s="115">
        <f>'Sampling Data'!L265</f>
        <v>0</v>
      </c>
      <c r="N265" s="115">
        <f>'Sampling Data'!M265</f>
        <v>0</v>
      </c>
      <c r="O265" s="114">
        <f>'Sampling Data'!N265</f>
        <v>0</v>
      </c>
      <c r="P265" s="114">
        <f>'Sampling Data'!O265</f>
        <v>1</v>
      </c>
      <c r="Q265" s="114">
        <f>'Sampling Data'!P265</f>
        <v>135</v>
      </c>
      <c r="R265" s="114">
        <f>'Sampling Data'!AJ265</f>
        <v>0</v>
      </c>
      <c r="S265" s="116"/>
      <c r="T265" s="116"/>
      <c r="U265" s="117"/>
      <c r="V265" s="117"/>
      <c r="W265" s="116"/>
      <c r="X265" s="116"/>
      <c r="Y265" s="116"/>
      <c r="Z265" s="116"/>
      <c r="AA265" s="15"/>
      <c r="AB265" s="15"/>
      <c r="AC265" s="15"/>
      <c r="AD265" s="15"/>
      <c r="AE265" s="118" t="str">
        <f>IF(NOT(ISBLANK(Audit[[#This Row],[Audit Winning Candidate]])), Audit[[#This Row],[Audit Winning Candidate]]-Audit[[#This Row],[Winning Candidate]], "")</f>
        <v/>
      </c>
      <c r="AF265" s="114" t="str">
        <f>IF(NOT(ISBLANK(Audit[[#This Row],[Audit Losing Candidate]])), Audit[[#This Row],[Audit Losing Candidate]]-Audit[[#This Row],[Losing Candidate]], "")</f>
        <v/>
      </c>
      <c r="AG265" s="114" t="str">
        <f>IF(NOT(ISBLANK(Audit[[#This Row],[Audit Candidate 3]])), Audit[[#This Row],[Audit Candidate 3]]-Audit[[#This Row],[Candidate 3]], "")</f>
        <v/>
      </c>
      <c r="AH265" s="114" t="str">
        <f>IF(NOT(ISBLANK(Audit[[#This Row],[Audit Candidate 4]])),Audit[[#This Row],[Audit Candidate 4]]-Audit[[#This Row],[Candidate 4]], "")</f>
        <v/>
      </c>
      <c r="AI265" s="114" t="str">
        <f>IF(NOT(ISBLANK(Audit[[#This Row],[Audit Candidate 5]])), Audit[[#This Row],[Audit Candidate 5]]-Audit[[#This Row],[Candidate 5]], "")</f>
        <v/>
      </c>
      <c r="AJ265" s="114" t="str">
        <f>IF(NOT(ISBLANK(Audit[[#This Row],[Audit Candidate 6]])), Audit[[#This Row],[Audit Candidate 6]]-Audit[[#This Row],[Candidate 6]], "")</f>
        <v/>
      </c>
      <c r="AK265" s="114" t="str">
        <f>IF(NOT(ISBLANK(Audit[[#This Row],[Audit Candidate 7]])), Audit[[#This Row],[Audit Candidate 7]]-Audit[[#This Row],[Candidate 7]], "")</f>
        <v/>
      </c>
      <c r="AL265" s="114" t="str">
        <f>IF(NOT(ISBLANK(Audit[[#This Row],[Audit Candidate 8]])), Audit[[#This Row],[Audit Candidate 8]]-Audit[[#This Row],[Candidate 8]], "")</f>
        <v/>
      </c>
      <c r="AM265" s="114" t="str">
        <f>IF(NOT(ISBLANK(Audit[[#This Row],[Audit Candidate 9]])), Audit[[#This Row],[Audit Candidate 9]]-Audit[[#This Row],[Candidate 9]], "")</f>
        <v/>
      </c>
      <c r="AN265" s="114" t="str">
        <f>IF(NOT(ISBLANK(Audit[[#This Row],[Audit Candidate 10]])), Audit[[#This Row],[Audit Candidate 10]]-Audit[[#This Row],[Candidate 10]], "")</f>
        <v/>
      </c>
      <c r="AO265" s="114" t="str">
        <f>IF(NOT(ISBLANK(Audit[[#This Row],[Audit Candidate 11]])), Audit[[#This Row],[Audit Candidate 11]]-Audit[[#This Row],[Candidate 11]], "")</f>
        <v/>
      </c>
      <c r="AP265" s="114" t="str">
        <f>IF(NOT(ISBLANK(Audit[[#This Row],[Audit Candidate 12]])), Audit[[#This Row],[Audit Candidate 12]]-Audit[[#This Row],[Candidate 12]], "")</f>
        <v/>
      </c>
      <c r="AQ265" s="114">
        <f>SUMIF(Audit[[#This Row],[Difference Winner]:[Difference Candidate 12]], "&gt;0")</f>
        <v>0</v>
      </c>
      <c r="AR265" s="114">
        <f>SUM(Audit[[#This Row],[Difference Winner]:[Difference Candidate 12]])</f>
        <v>0</v>
      </c>
      <c r="AS265" s="114">
        <f>IF(Audit[[#This Row],[Times p Drawn - With Replacement]]&gt;0, IF(Audit[[#This Row],[Canceled Differences]]&lt;0, Audit[[#This Row],[Max Differences]]+ABS(Audit[[#This Row],[Canceled Differences]]), Audit[[#This Row],[Max Differences]]), 0)</f>
        <v>0</v>
      </c>
      <c r="AT265" s="114">
        <f>'Sampling Data'!AB265</f>
        <v>1.3589532899311042E-2</v>
      </c>
      <c r="AU265" s="114">
        <f>IF(
      SUM(Audit[[#This Row],[Audit Losing Candidate]:[Audit Candidate 12]])
      &lt;&gt;0,
      (Audit[[#This Row],[Winning Candidate]]-Audit[[#This Row],[Losing Candidate]]-(Audit[[#This Row],[Audit Winning Candidate]]-Audit[[#This Row],[Audit Losing Candidate]]))/(Audit[[#Totals],[Winning Candidate]]-Audit[[#Totals],[Losing Candidate]]),
      0
)</f>
        <v>0</v>
      </c>
      <c r="AV2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5" s="114">
        <f>IF(Audit[[#This Row],[Max Relative Error (ep)]] = 0, 0, Audit[[#This Row],[Max Relative Error (ep)]]/Audit[[#This Row],[Error Bound (up) - Max. possible relative overstatement]])</f>
        <v>0</v>
      </c>
      <c r="BH2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5" s="114">
        <f t="shared" si="4"/>
        <v>1</v>
      </c>
      <c r="BJ265" s="114">
        <f>PRODUCT($BI$5:BI265)</f>
        <v>0.20973752198051165</v>
      </c>
      <c r="BK265" s="112">
        <f>1 - Audit[[#This Row],[K-M P Value]]</f>
        <v>0.79026247801948835</v>
      </c>
      <c r="BL265" s="114" t="str">
        <f>IF(Audit[[#This Row],[K-M P Value]]&gt;1-'General Info'!$B$12,"Continue", "Stop")</f>
        <v>Continue</v>
      </c>
      <c r="BM265" s="113" t="b">
        <f>IF(Audit[[#This Row],[Status - Continue or stop audit]] = "Continue", TRUE, IF(BL264 = "Continue", TRUE, FALSE))</f>
        <v>1</v>
      </c>
      <c r="BN265" s="113"/>
    </row>
    <row r="266" spans="1:66" ht="15" hidden="1" customHeight="1" x14ac:dyDescent="0.35">
      <c r="A266" s="114" t="str">
        <f>'Sampling Data'!AI266</f>
        <v/>
      </c>
      <c r="B266" s="114" t="str">
        <f>'Sampling Data'!A266</f>
        <v>1002 CIN 10-B   (ED)</v>
      </c>
      <c r="C266" s="114">
        <f>'Sampling Data'!B266</f>
        <v>62</v>
      </c>
      <c r="D266" s="114">
        <f>'Sampling Data'!C266</f>
        <v>6</v>
      </c>
      <c r="E266" s="115">
        <f>'Sampling Data'!D266</f>
        <v>3</v>
      </c>
      <c r="F266" s="115">
        <f>'Sampling Data'!E266</f>
        <v>0</v>
      </c>
      <c r="G266" s="115">
        <f>'Sampling Data'!F266</f>
        <v>0</v>
      </c>
      <c r="H266" s="115">
        <f>'Sampling Data'!G266</f>
        <v>0</v>
      </c>
      <c r="I266" s="115">
        <f>'Sampling Data'!H266</f>
        <v>0</v>
      </c>
      <c r="J266" s="115">
        <f>'Sampling Data'!I266</f>
        <v>0</v>
      </c>
      <c r="K266" s="115">
        <f>'Sampling Data'!J266</f>
        <v>0</v>
      </c>
      <c r="L266" s="115">
        <f>'Sampling Data'!K266</f>
        <v>0</v>
      </c>
      <c r="M266" s="115">
        <f>'Sampling Data'!L266</f>
        <v>0</v>
      </c>
      <c r="N266" s="115">
        <f>'Sampling Data'!M266</f>
        <v>0</v>
      </c>
      <c r="O266" s="114">
        <f>'Sampling Data'!N266</f>
        <v>0</v>
      </c>
      <c r="P266" s="114">
        <f>'Sampling Data'!O266</f>
        <v>1</v>
      </c>
      <c r="Q266" s="114">
        <f>'Sampling Data'!P266</f>
        <v>72</v>
      </c>
      <c r="R266" s="114">
        <f>'Sampling Data'!AJ266</f>
        <v>0</v>
      </c>
      <c r="S266" s="116"/>
      <c r="T266" s="116"/>
      <c r="U266" s="117"/>
      <c r="V266" s="117"/>
      <c r="W266" s="116"/>
      <c r="X266" s="116"/>
      <c r="Y266" s="116"/>
      <c r="Z266" s="116"/>
      <c r="AA266" s="15"/>
      <c r="AB266" s="15"/>
      <c r="AC266" s="15"/>
      <c r="AD266" s="15"/>
      <c r="AE266" s="118" t="str">
        <f>IF(NOT(ISBLANK(Audit[[#This Row],[Audit Winning Candidate]])), Audit[[#This Row],[Audit Winning Candidate]]-Audit[[#This Row],[Winning Candidate]], "")</f>
        <v/>
      </c>
      <c r="AF266" s="114" t="str">
        <f>IF(NOT(ISBLANK(Audit[[#This Row],[Audit Losing Candidate]])), Audit[[#This Row],[Audit Losing Candidate]]-Audit[[#This Row],[Losing Candidate]], "")</f>
        <v/>
      </c>
      <c r="AG266" s="114" t="str">
        <f>IF(NOT(ISBLANK(Audit[[#This Row],[Audit Candidate 3]])), Audit[[#This Row],[Audit Candidate 3]]-Audit[[#This Row],[Candidate 3]], "")</f>
        <v/>
      </c>
      <c r="AH266" s="114" t="str">
        <f>IF(NOT(ISBLANK(Audit[[#This Row],[Audit Candidate 4]])),Audit[[#This Row],[Audit Candidate 4]]-Audit[[#This Row],[Candidate 4]], "")</f>
        <v/>
      </c>
      <c r="AI266" s="114" t="str">
        <f>IF(NOT(ISBLANK(Audit[[#This Row],[Audit Candidate 5]])), Audit[[#This Row],[Audit Candidate 5]]-Audit[[#This Row],[Candidate 5]], "")</f>
        <v/>
      </c>
      <c r="AJ266" s="114" t="str">
        <f>IF(NOT(ISBLANK(Audit[[#This Row],[Audit Candidate 6]])), Audit[[#This Row],[Audit Candidate 6]]-Audit[[#This Row],[Candidate 6]], "")</f>
        <v/>
      </c>
      <c r="AK266" s="114" t="str">
        <f>IF(NOT(ISBLANK(Audit[[#This Row],[Audit Candidate 7]])), Audit[[#This Row],[Audit Candidate 7]]-Audit[[#This Row],[Candidate 7]], "")</f>
        <v/>
      </c>
      <c r="AL266" s="114" t="str">
        <f>IF(NOT(ISBLANK(Audit[[#This Row],[Audit Candidate 8]])), Audit[[#This Row],[Audit Candidate 8]]-Audit[[#This Row],[Candidate 8]], "")</f>
        <v/>
      </c>
      <c r="AM266" s="114" t="str">
        <f>IF(NOT(ISBLANK(Audit[[#This Row],[Audit Candidate 9]])), Audit[[#This Row],[Audit Candidate 9]]-Audit[[#This Row],[Candidate 9]], "")</f>
        <v/>
      </c>
      <c r="AN266" s="114" t="str">
        <f>IF(NOT(ISBLANK(Audit[[#This Row],[Audit Candidate 10]])), Audit[[#This Row],[Audit Candidate 10]]-Audit[[#This Row],[Candidate 10]], "")</f>
        <v/>
      </c>
      <c r="AO266" s="114" t="str">
        <f>IF(NOT(ISBLANK(Audit[[#This Row],[Audit Candidate 11]])), Audit[[#This Row],[Audit Candidate 11]]-Audit[[#This Row],[Candidate 11]], "")</f>
        <v/>
      </c>
      <c r="AP266" s="114" t="str">
        <f>IF(NOT(ISBLANK(Audit[[#This Row],[Audit Candidate 12]])), Audit[[#This Row],[Audit Candidate 12]]-Audit[[#This Row],[Candidate 12]], "")</f>
        <v/>
      </c>
      <c r="AQ266" s="114">
        <f>SUMIF(Audit[[#This Row],[Difference Winner]:[Difference Candidate 12]], "&gt;0")</f>
        <v>0</v>
      </c>
      <c r="AR266" s="114">
        <f>SUM(Audit[[#This Row],[Difference Winner]:[Difference Candidate 12]])</f>
        <v>0</v>
      </c>
      <c r="AS266" s="114">
        <f>IF(Audit[[#This Row],[Times p Drawn - With Replacement]]&gt;0, IF(Audit[[#This Row],[Canceled Differences]]&lt;0, Audit[[#This Row],[Max Differences]]+ABS(Audit[[#This Row],[Canceled Differences]]), Audit[[#This Row],[Max Differences]]), 0)</f>
        <v>0</v>
      </c>
      <c r="AT266" s="114">
        <f>'Sampling Data'!AB266</f>
        <v>8.0905126098223881E-3</v>
      </c>
      <c r="AU266" s="114">
        <f>IF(
      SUM(Audit[[#This Row],[Audit Losing Candidate]:[Audit Candidate 12]])
      &lt;&gt;0,
      (Audit[[#This Row],[Winning Candidate]]-Audit[[#This Row],[Losing Candidate]]-(Audit[[#This Row],[Audit Winning Candidate]]-Audit[[#This Row],[Audit Losing Candidate]]))/(Audit[[#Totals],[Winning Candidate]]-Audit[[#Totals],[Losing Candidate]]),
      0
)</f>
        <v>0</v>
      </c>
      <c r="AV2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6" s="114">
        <f>IF(Audit[[#This Row],[Max Relative Error (ep)]] = 0, 0, Audit[[#This Row],[Max Relative Error (ep)]]/Audit[[#This Row],[Error Bound (up) - Max. possible relative overstatement]])</f>
        <v>0</v>
      </c>
      <c r="BH2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6" s="114">
        <f t="shared" si="4"/>
        <v>1</v>
      </c>
      <c r="BJ266" s="114">
        <f>PRODUCT($BI$5:BI266)</f>
        <v>0.20973752198051165</v>
      </c>
      <c r="BK266" s="112">
        <f>1 - Audit[[#This Row],[K-M P Value]]</f>
        <v>0.79026247801948835</v>
      </c>
      <c r="BL266" s="114" t="str">
        <f>IF(Audit[[#This Row],[K-M P Value]]&gt;1-'General Info'!$B$12,"Continue", "Stop")</f>
        <v>Continue</v>
      </c>
      <c r="BM266" s="113" t="b">
        <f>IF(Audit[[#This Row],[Status - Continue or stop audit]] = "Continue", TRUE, IF(BL265 = "Continue", TRUE, FALSE))</f>
        <v>1</v>
      </c>
      <c r="BN266" s="113"/>
    </row>
    <row r="267" spans="1:66" ht="15" hidden="1" customHeight="1" x14ac:dyDescent="0.35">
      <c r="A267" s="114" t="str">
        <f>'Sampling Data'!AI267</f>
        <v/>
      </c>
      <c r="B267" s="114" t="str">
        <f>'Sampling Data'!A267</f>
        <v>1003 CIN 10-C   (ED)</v>
      </c>
      <c r="C267" s="114">
        <f>'Sampling Data'!B267</f>
        <v>85</v>
      </c>
      <c r="D267" s="114">
        <f>'Sampling Data'!C267</f>
        <v>2</v>
      </c>
      <c r="E267" s="115">
        <f>'Sampling Data'!D267</f>
        <v>1</v>
      </c>
      <c r="F267" s="115">
        <f>'Sampling Data'!E267</f>
        <v>0</v>
      </c>
      <c r="G267" s="115">
        <f>'Sampling Data'!F267</f>
        <v>0</v>
      </c>
      <c r="H267" s="115">
        <f>'Sampling Data'!G267</f>
        <v>0</v>
      </c>
      <c r="I267" s="115">
        <f>'Sampling Data'!H267</f>
        <v>0</v>
      </c>
      <c r="J267" s="115">
        <f>'Sampling Data'!I267</f>
        <v>0</v>
      </c>
      <c r="K267" s="115">
        <f>'Sampling Data'!J267</f>
        <v>0</v>
      </c>
      <c r="L267" s="115">
        <f>'Sampling Data'!K267</f>
        <v>0</v>
      </c>
      <c r="M267" s="115">
        <f>'Sampling Data'!L267</f>
        <v>0</v>
      </c>
      <c r="N267" s="115">
        <f>'Sampling Data'!M267</f>
        <v>0</v>
      </c>
      <c r="O267" s="114">
        <f>'Sampling Data'!N267</f>
        <v>0</v>
      </c>
      <c r="P267" s="114">
        <f>'Sampling Data'!O267</f>
        <v>1</v>
      </c>
      <c r="Q267" s="114">
        <f>'Sampling Data'!P267</f>
        <v>89</v>
      </c>
      <c r="R267" s="114">
        <f>'Sampling Data'!AJ267</f>
        <v>0</v>
      </c>
      <c r="S267" s="116"/>
      <c r="T267" s="116"/>
      <c r="U267" s="117"/>
      <c r="V267" s="117"/>
      <c r="W267" s="116"/>
      <c r="X267" s="116"/>
      <c r="Y267" s="116"/>
      <c r="Z267" s="116"/>
      <c r="AA267" s="15"/>
      <c r="AB267" s="15"/>
      <c r="AC267" s="15"/>
      <c r="AD267" s="15"/>
      <c r="AE267" s="118" t="str">
        <f>IF(NOT(ISBLANK(Audit[[#This Row],[Audit Winning Candidate]])), Audit[[#This Row],[Audit Winning Candidate]]-Audit[[#This Row],[Winning Candidate]], "")</f>
        <v/>
      </c>
      <c r="AF267" s="114" t="str">
        <f>IF(NOT(ISBLANK(Audit[[#This Row],[Audit Losing Candidate]])), Audit[[#This Row],[Audit Losing Candidate]]-Audit[[#This Row],[Losing Candidate]], "")</f>
        <v/>
      </c>
      <c r="AG267" s="114" t="str">
        <f>IF(NOT(ISBLANK(Audit[[#This Row],[Audit Candidate 3]])), Audit[[#This Row],[Audit Candidate 3]]-Audit[[#This Row],[Candidate 3]], "")</f>
        <v/>
      </c>
      <c r="AH267" s="114" t="str">
        <f>IF(NOT(ISBLANK(Audit[[#This Row],[Audit Candidate 4]])),Audit[[#This Row],[Audit Candidate 4]]-Audit[[#This Row],[Candidate 4]], "")</f>
        <v/>
      </c>
      <c r="AI267" s="114" t="str">
        <f>IF(NOT(ISBLANK(Audit[[#This Row],[Audit Candidate 5]])), Audit[[#This Row],[Audit Candidate 5]]-Audit[[#This Row],[Candidate 5]], "")</f>
        <v/>
      </c>
      <c r="AJ267" s="114" t="str">
        <f>IF(NOT(ISBLANK(Audit[[#This Row],[Audit Candidate 6]])), Audit[[#This Row],[Audit Candidate 6]]-Audit[[#This Row],[Candidate 6]], "")</f>
        <v/>
      </c>
      <c r="AK267" s="114" t="str">
        <f>IF(NOT(ISBLANK(Audit[[#This Row],[Audit Candidate 7]])), Audit[[#This Row],[Audit Candidate 7]]-Audit[[#This Row],[Candidate 7]], "")</f>
        <v/>
      </c>
      <c r="AL267" s="114" t="str">
        <f>IF(NOT(ISBLANK(Audit[[#This Row],[Audit Candidate 8]])), Audit[[#This Row],[Audit Candidate 8]]-Audit[[#This Row],[Candidate 8]], "")</f>
        <v/>
      </c>
      <c r="AM267" s="114" t="str">
        <f>IF(NOT(ISBLANK(Audit[[#This Row],[Audit Candidate 9]])), Audit[[#This Row],[Audit Candidate 9]]-Audit[[#This Row],[Candidate 9]], "")</f>
        <v/>
      </c>
      <c r="AN267" s="114" t="str">
        <f>IF(NOT(ISBLANK(Audit[[#This Row],[Audit Candidate 10]])), Audit[[#This Row],[Audit Candidate 10]]-Audit[[#This Row],[Candidate 10]], "")</f>
        <v/>
      </c>
      <c r="AO267" s="114" t="str">
        <f>IF(NOT(ISBLANK(Audit[[#This Row],[Audit Candidate 11]])), Audit[[#This Row],[Audit Candidate 11]]-Audit[[#This Row],[Candidate 11]], "")</f>
        <v/>
      </c>
      <c r="AP267" s="114" t="str">
        <f>IF(NOT(ISBLANK(Audit[[#This Row],[Audit Candidate 12]])), Audit[[#This Row],[Audit Candidate 12]]-Audit[[#This Row],[Candidate 12]], "")</f>
        <v/>
      </c>
      <c r="AQ267" s="114">
        <f>SUMIF(Audit[[#This Row],[Difference Winner]:[Difference Candidate 12]], "&gt;0")</f>
        <v>0</v>
      </c>
      <c r="AR267" s="114">
        <f>SUM(Audit[[#This Row],[Difference Winner]:[Difference Candidate 12]])</f>
        <v>0</v>
      </c>
      <c r="AS267" s="114">
        <f>IF(Audit[[#This Row],[Times p Drawn - With Replacement]]&gt;0, IF(Audit[[#This Row],[Canceled Differences]]&lt;0, Audit[[#This Row],[Max Differences]]+ABS(Audit[[#This Row],[Canceled Differences]]), Audit[[#This Row],[Max Differences]]), 0)</f>
        <v>0</v>
      </c>
      <c r="AT267" s="114">
        <f>'Sampling Data'!AB267</f>
        <v>1.0871626319448834E-2</v>
      </c>
      <c r="AU267" s="114">
        <f>IF(
      SUM(Audit[[#This Row],[Audit Losing Candidate]:[Audit Candidate 12]])
      &lt;&gt;0,
      (Audit[[#This Row],[Winning Candidate]]-Audit[[#This Row],[Losing Candidate]]-(Audit[[#This Row],[Audit Winning Candidate]]-Audit[[#This Row],[Audit Losing Candidate]]))/(Audit[[#Totals],[Winning Candidate]]-Audit[[#Totals],[Losing Candidate]]),
      0
)</f>
        <v>0</v>
      </c>
      <c r="AV2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7" s="114">
        <f>IF(Audit[[#This Row],[Max Relative Error (ep)]] = 0, 0, Audit[[#This Row],[Max Relative Error (ep)]]/Audit[[#This Row],[Error Bound (up) - Max. possible relative overstatement]])</f>
        <v>0</v>
      </c>
      <c r="BH2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7" s="114">
        <f t="shared" si="4"/>
        <v>1</v>
      </c>
      <c r="BJ267" s="114">
        <f>PRODUCT($BI$5:BI267)</f>
        <v>0.20973752198051165</v>
      </c>
      <c r="BK267" s="112">
        <f>1 - Audit[[#This Row],[K-M P Value]]</f>
        <v>0.79026247801948835</v>
      </c>
      <c r="BL267" s="114" t="str">
        <f>IF(Audit[[#This Row],[K-M P Value]]&gt;1-'General Info'!$B$12,"Continue", "Stop")</f>
        <v>Continue</v>
      </c>
      <c r="BM267" s="113" t="b">
        <f>IF(Audit[[#This Row],[Status - Continue or stop audit]] = "Continue", TRUE, IF(BL266 = "Continue", TRUE, FALSE))</f>
        <v>1</v>
      </c>
      <c r="BN267" s="113"/>
    </row>
    <row r="268" spans="1:66" ht="15" hidden="1" customHeight="1" x14ac:dyDescent="0.35">
      <c r="A268" s="114" t="str">
        <f>'Sampling Data'!AI268</f>
        <v/>
      </c>
      <c r="B268" s="114" t="str">
        <f>'Sampling Data'!A268</f>
        <v>1101 CIN 11-A   (ED)</v>
      </c>
      <c r="C268" s="114">
        <f>'Sampling Data'!B268</f>
        <v>78</v>
      </c>
      <c r="D268" s="114">
        <f>'Sampling Data'!C268</f>
        <v>8</v>
      </c>
      <c r="E268" s="115">
        <f>'Sampling Data'!D268</f>
        <v>5</v>
      </c>
      <c r="F268" s="115">
        <f>'Sampling Data'!E268</f>
        <v>0</v>
      </c>
      <c r="G268" s="115">
        <f>'Sampling Data'!F268</f>
        <v>0</v>
      </c>
      <c r="H268" s="115">
        <f>'Sampling Data'!G268</f>
        <v>0</v>
      </c>
      <c r="I268" s="115">
        <f>'Sampling Data'!H268</f>
        <v>0</v>
      </c>
      <c r="J268" s="115">
        <f>'Sampling Data'!I268</f>
        <v>0</v>
      </c>
      <c r="K268" s="115">
        <f>'Sampling Data'!J268</f>
        <v>0</v>
      </c>
      <c r="L268" s="115">
        <f>'Sampling Data'!K268</f>
        <v>0</v>
      </c>
      <c r="M268" s="115">
        <f>'Sampling Data'!L268</f>
        <v>0</v>
      </c>
      <c r="N268" s="115">
        <f>'Sampling Data'!M268</f>
        <v>0</v>
      </c>
      <c r="O268" s="114">
        <f>'Sampling Data'!N268</f>
        <v>0</v>
      </c>
      <c r="P268" s="114">
        <f>'Sampling Data'!O268</f>
        <v>0</v>
      </c>
      <c r="Q268" s="114">
        <f>'Sampling Data'!P268</f>
        <v>91</v>
      </c>
      <c r="R268" s="114">
        <f>'Sampling Data'!AJ268</f>
        <v>0</v>
      </c>
      <c r="S268" s="116"/>
      <c r="T268" s="116"/>
      <c r="U268" s="117"/>
      <c r="V268" s="117"/>
      <c r="W268" s="116"/>
      <c r="X268" s="116"/>
      <c r="Y268" s="116"/>
      <c r="Z268" s="116"/>
      <c r="AA268" s="15"/>
      <c r="AB268" s="15"/>
      <c r="AC268" s="15"/>
      <c r="AD268" s="15"/>
      <c r="AE268" s="118" t="str">
        <f>IF(NOT(ISBLANK(Audit[[#This Row],[Audit Winning Candidate]])), Audit[[#This Row],[Audit Winning Candidate]]-Audit[[#This Row],[Winning Candidate]], "")</f>
        <v/>
      </c>
      <c r="AF268" s="114" t="str">
        <f>IF(NOT(ISBLANK(Audit[[#This Row],[Audit Losing Candidate]])), Audit[[#This Row],[Audit Losing Candidate]]-Audit[[#This Row],[Losing Candidate]], "")</f>
        <v/>
      </c>
      <c r="AG268" s="114" t="str">
        <f>IF(NOT(ISBLANK(Audit[[#This Row],[Audit Candidate 3]])), Audit[[#This Row],[Audit Candidate 3]]-Audit[[#This Row],[Candidate 3]], "")</f>
        <v/>
      </c>
      <c r="AH268" s="114" t="str">
        <f>IF(NOT(ISBLANK(Audit[[#This Row],[Audit Candidate 4]])),Audit[[#This Row],[Audit Candidate 4]]-Audit[[#This Row],[Candidate 4]], "")</f>
        <v/>
      </c>
      <c r="AI268" s="114" t="str">
        <f>IF(NOT(ISBLANK(Audit[[#This Row],[Audit Candidate 5]])), Audit[[#This Row],[Audit Candidate 5]]-Audit[[#This Row],[Candidate 5]], "")</f>
        <v/>
      </c>
      <c r="AJ268" s="114" t="str">
        <f>IF(NOT(ISBLANK(Audit[[#This Row],[Audit Candidate 6]])), Audit[[#This Row],[Audit Candidate 6]]-Audit[[#This Row],[Candidate 6]], "")</f>
        <v/>
      </c>
      <c r="AK268" s="114" t="str">
        <f>IF(NOT(ISBLANK(Audit[[#This Row],[Audit Candidate 7]])), Audit[[#This Row],[Audit Candidate 7]]-Audit[[#This Row],[Candidate 7]], "")</f>
        <v/>
      </c>
      <c r="AL268" s="114" t="str">
        <f>IF(NOT(ISBLANK(Audit[[#This Row],[Audit Candidate 8]])), Audit[[#This Row],[Audit Candidate 8]]-Audit[[#This Row],[Candidate 8]], "")</f>
        <v/>
      </c>
      <c r="AM268" s="114" t="str">
        <f>IF(NOT(ISBLANK(Audit[[#This Row],[Audit Candidate 9]])), Audit[[#This Row],[Audit Candidate 9]]-Audit[[#This Row],[Candidate 9]], "")</f>
        <v/>
      </c>
      <c r="AN268" s="114" t="str">
        <f>IF(NOT(ISBLANK(Audit[[#This Row],[Audit Candidate 10]])), Audit[[#This Row],[Audit Candidate 10]]-Audit[[#This Row],[Candidate 10]], "")</f>
        <v/>
      </c>
      <c r="AO268" s="114" t="str">
        <f>IF(NOT(ISBLANK(Audit[[#This Row],[Audit Candidate 11]])), Audit[[#This Row],[Audit Candidate 11]]-Audit[[#This Row],[Candidate 11]], "")</f>
        <v/>
      </c>
      <c r="AP268" s="114" t="str">
        <f>IF(NOT(ISBLANK(Audit[[#This Row],[Audit Candidate 12]])), Audit[[#This Row],[Audit Candidate 12]]-Audit[[#This Row],[Candidate 12]], "")</f>
        <v/>
      </c>
      <c r="AQ268" s="114">
        <f>SUMIF(Audit[[#This Row],[Difference Winner]:[Difference Candidate 12]], "&gt;0")</f>
        <v>0</v>
      </c>
      <c r="AR268" s="114">
        <f>SUM(Audit[[#This Row],[Difference Winner]:[Difference Candidate 12]])</f>
        <v>0</v>
      </c>
      <c r="AS268" s="114">
        <f>IF(Audit[[#This Row],[Times p Drawn - With Replacement]]&gt;0, IF(Audit[[#This Row],[Canceled Differences]]&lt;0, Audit[[#This Row],[Max Differences]]+ABS(Audit[[#This Row],[Canceled Differences]]), Audit[[#This Row],[Max Differences]]), 0)</f>
        <v>0</v>
      </c>
      <c r="AT268" s="114">
        <f>'Sampling Data'!AB268</f>
        <v>1.0176347892042222E-2</v>
      </c>
      <c r="AU268" s="114">
        <f>IF(
      SUM(Audit[[#This Row],[Audit Losing Candidate]:[Audit Candidate 12]])
      &lt;&gt;0,
      (Audit[[#This Row],[Winning Candidate]]-Audit[[#This Row],[Losing Candidate]]-(Audit[[#This Row],[Audit Winning Candidate]]-Audit[[#This Row],[Audit Losing Candidate]]))/(Audit[[#Totals],[Winning Candidate]]-Audit[[#Totals],[Losing Candidate]]),
      0
)</f>
        <v>0</v>
      </c>
      <c r="AV2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8" s="114">
        <f>IF(Audit[[#This Row],[Max Relative Error (ep)]] = 0, 0, Audit[[#This Row],[Max Relative Error (ep)]]/Audit[[#This Row],[Error Bound (up) - Max. possible relative overstatement]])</f>
        <v>0</v>
      </c>
      <c r="BH2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8" s="114">
        <f t="shared" si="4"/>
        <v>1</v>
      </c>
      <c r="BJ268" s="114">
        <f>PRODUCT($BI$5:BI268)</f>
        <v>0.20973752198051165</v>
      </c>
      <c r="BK268" s="112">
        <f>1 - Audit[[#This Row],[K-M P Value]]</f>
        <v>0.79026247801948835</v>
      </c>
      <c r="BL268" s="114" t="str">
        <f>IF(Audit[[#This Row],[K-M P Value]]&gt;1-'General Info'!$B$12,"Continue", "Stop")</f>
        <v>Continue</v>
      </c>
      <c r="BM268" s="113" t="b">
        <f>IF(Audit[[#This Row],[Status - Continue or stop audit]] = "Continue", TRUE, IF(BL267 = "Continue", TRUE, FALSE))</f>
        <v>1</v>
      </c>
      <c r="BN268" s="113"/>
    </row>
    <row r="269" spans="1:66" ht="15" hidden="1" customHeight="1" x14ac:dyDescent="0.35">
      <c r="A269" s="114" t="str">
        <f>'Sampling Data'!AI269</f>
        <v/>
      </c>
      <c r="B269" s="114" t="str">
        <f>'Sampling Data'!A269</f>
        <v>1102 CIN 11-B   (ED)</v>
      </c>
      <c r="C269" s="114">
        <f>'Sampling Data'!B269</f>
        <v>36</v>
      </c>
      <c r="D269" s="114">
        <f>'Sampling Data'!C269</f>
        <v>5</v>
      </c>
      <c r="E269" s="115">
        <f>'Sampling Data'!D269</f>
        <v>1</v>
      </c>
      <c r="F269" s="115">
        <f>'Sampling Data'!E269</f>
        <v>0</v>
      </c>
      <c r="G269" s="115">
        <f>'Sampling Data'!F269</f>
        <v>0</v>
      </c>
      <c r="H269" s="115">
        <f>'Sampling Data'!G269</f>
        <v>0</v>
      </c>
      <c r="I269" s="115">
        <f>'Sampling Data'!H269</f>
        <v>0</v>
      </c>
      <c r="J269" s="115">
        <f>'Sampling Data'!I269</f>
        <v>0</v>
      </c>
      <c r="K269" s="115">
        <f>'Sampling Data'!J269</f>
        <v>0</v>
      </c>
      <c r="L269" s="115">
        <f>'Sampling Data'!K269</f>
        <v>0</v>
      </c>
      <c r="M269" s="115">
        <f>'Sampling Data'!L269</f>
        <v>0</v>
      </c>
      <c r="N269" s="115">
        <f>'Sampling Data'!M269</f>
        <v>0</v>
      </c>
      <c r="O269" s="114">
        <f>'Sampling Data'!N269</f>
        <v>0</v>
      </c>
      <c r="P269" s="114">
        <f>'Sampling Data'!O269</f>
        <v>0</v>
      </c>
      <c r="Q269" s="114">
        <f>'Sampling Data'!P269</f>
        <v>42</v>
      </c>
      <c r="R269" s="114">
        <f>'Sampling Data'!AJ269</f>
        <v>0</v>
      </c>
      <c r="S269" s="116"/>
      <c r="T269" s="116"/>
      <c r="U269" s="117"/>
      <c r="V269" s="117"/>
      <c r="W269" s="116"/>
      <c r="X269" s="116"/>
      <c r="Y269" s="116"/>
      <c r="Z269" s="116"/>
      <c r="AA269" s="15"/>
      <c r="AB269" s="15"/>
      <c r="AC269" s="15"/>
      <c r="AD269" s="15"/>
      <c r="AE269" s="118" t="str">
        <f>IF(NOT(ISBLANK(Audit[[#This Row],[Audit Winning Candidate]])), Audit[[#This Row],[Audit Winning Candidate]]-Audit[[#This Row],[Winning Candidate]], "")</f>
        <v/>
      </c>
      <c r="AF269" s="114" t="str">
        <f>IF(NOT(ISBLANK(Audit[[#This Row],[Audit Losing Candidate]])), Audit[[#This Row],[Audit Losing Candidate]]-Audit[[#This Row],[Losing Candidate]], "")</f>
        <v/>
      </c>
      <c r="AG269" s="114" t="str">
        <f>IF(NOT(ISBLANK(Audit[[#This Row],[Audit Candidate 3]])), Audit[[#This Row],[Audit Candidate 3]]-Audit[[#This Row],[Candidate 3]], "")</f>
        <v/>
      </c>
      <c r="AH269" s="114" t="str">
        <f>IF(NOT(ISBLANK(Audit[[#This Row],[Audit Candidate 4]])),Audit[[#This Row],[Audit Candidate 4]]-Audit[[#This Row],[Candidate 4]], "")</f>
        <v/>
      </c>
      <c r="AI269" s="114" t="str">
        <f>IF(NOT(ISBLANK(Audit[[#This Row],[Audit Candidate 5]])), Audit[[#This Row],[Audit Candidate 5]]-Audit[[#This Row],[Candidate 5]], "")</f>
        <v/>
      </c>
      <c r="AJ269" s="114" t="str">
        <f>IF(NOT(ISBLANK(Audit[[#This Row],[Audit Candidate 6]])), Audit[[#This Row],[Audit Candidate 6]]-Audit[[#This Row],[Candidate 6]], "")</f>
        <v/>
      </c>
      <c r="AK269" s="114" t="str">
        <f>IF(NOT(ISBLANK(Audit[[#This Row],[Audit Candidate 7]])), Audit[[#This Row],[Audit Candidate 7]]-Audit[[#This Row],[Candidate 7]], "")</f>
        <v/>
      </c>
      <c r="AL269" s="114" t="str">
        <f>IF(NOT(ISBLANK(Audit[[#This Row],[Audit Candidate 8]])), Audit[[#This Row],[Audit Candidate 8]]-Audit[[#This Row],[Candidate 8]], "")</f>
        <v/>
      </c>
      <c r="AM269" s="114" t="str">
        <f>IF(NOT(ISBLANK(Audit[[#This Row],[Audit Candidate 9]])), Audit[[#This Row],[Audit Candidate 9]]-Audit[[#This Row],[Candidate 9]], "")</f>
        <v/>
      </c>
      <c r="AN269" s="114" t="str">
        <f>IF(NOT(ISBLANK(Audit[[#This Row],[Audit Candidate 10]])), Audit[[#This Row],[Audit Candidate 10]]-Audit[[#This Row],[Candidate 10]], "")</f>
        <v/>
      </c>
      <c r="AO269" s="114" t="str">
        <f>IF(NOT(ISBLANK(Audit[[#This Row],[Audit Candidate 11]])), Audit[[#This Row],[Audit Candidate 11]]-Audit[[#This Row],[Candidate 11]], "")</f>
        <v/>
      </c>
      <c r="AP269" s="114" t="str">
        <f>IF(NOT(ISBLANK(Audit[[#This Row],[Audit Candidate 12]])), Audit[[#This Row],[Audit Candidate 12]]-Audit[[#This Row],[Candidate 12]], "")</f>
        <v/>
      </c>
      <c r="AQ269" s="114">
        <f>SUMIF(Audit[[#This Row],[Difference Winner]:[Difference Candidate 12]], "&gt;0")</f>
        <v>0</v>
      </c>
      <c r="AR269" s="114">
        <f>SUM(Audit[[#This Row],[Difference Winner]:[Difference Candidate 12]])</f>
        <v>0</v>
      </c>
      <c r="AS269" s="114">
        <f>IF(Audit[[#This Row],[Times p Drawn - With Replacement]]&gt;0, IF(Audit[[#This Row],[Canceled Differences]]&lt;0, Audit[[#This Row],[Max Differences]]+ABS(Audit[[#This Row],[Canceled Differences]]), Audit[[#This Row],[Max Differences]]), 0)</f>
        <v>0</v>
      </c>
      <c r="AT269" s="114">
        <f>'Sampling Data'!AB269</f>
        <v>4.6141204727893305E-3</v>
      </c>
      <c r="AU269" s="114">
        <f>IF(
      SUM(Audit[[#This Row],[Audit Losing Candidate]:[Audit Candidate 12]])
      &lt;&gt;0,
      (Audit[[#This Row],[Winning Candidate]]-Audit[[#This Row],[Losing Candidate]]-(Audit[[#This Row],[Audit Winning Candidate]]-Audit[[#This Row],[Audit Losing Candidate]]))/(Audit[[#Totals],[Winning Candidate]]-Audit[[#Totals],[Losing Candidate]]),
      0
)</f>
        <v>0</v>
      </c>
      <c r="AV2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9" s="114">
        <f>IF(Audit[[#This Row],[Max Relative Error (ep)]] = 0, 0, Audit[[#This Row],[Max Relative Error (ep)]]/Audit[[#This Row],[Error Bound (up) - Max. possible relative overstatement]])</f>
        <v>0</v>
      </c>
      <c r="BH2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69" s="114">
        <f t="shared" si="4"/>
        <v>1</v>
      </c>
      <c r="BJ269" s="114">
        <f>PRODUCT($BI$5:BI269)</f>
        <v>0.20973752198051165</v>
      </c>
      <c r="BK269" s="112">
        <f>1 - Audit[[#This Row],[K-M P Value]]</f>
        <v>0.79026247801948835</v>
      </c>
      <c r="BL269" s="114" t="str">
        <f>IF(Audit[[#This Row],[K-M P Value]]&gt;1-'General Info'!$B$12,"Continue", "Stop")</f>
        <v>Continue</v>
      </c>
      <c r="BM269" s="113" t="b">
        <f>IF(Audit[[#This Row],[Status - Continue or stop audit]] = "Continue", TRUE, IF(BL268 = "Continue", TRUE, FALSE))</f>
        <v>1</v>
      </c>
      <c r="BN269" s="113"/>
    </row>
    <row r="270" spans="1:66" ht="15" hidden="1" customHeight="1" x14ac:dyDescent="0.35">
      <c r="A270" s="114" t="str">
        <f>'Sampling Data'!AI270</f>
        <v/>
      </c>
      <c r="B270" s="114" t="str">
        <f>'Sampling Data'!A270</f>
        <v>1103 CIN 11-C   (ED)</v>
      </c>
      <c r="C270" s="114">
        <f>'Sampling Data'!B270</f>
        <v>17</v>
      </c>
      <c r="D270" s="114">
        <f>'Sampling Data'!C270</f>
        <v>0</v>
      </c>
      <c r="E270" s="115">
        <f>'Sampling Data'!D270</f>
        <v>3</v>
      </c>
      <c r="F270" s="115">
        <f>'Sampling Data'!E270</f>
        <v>0</v>
      </c>
      <c r="G270" s="115">
        <f>'Sampling Data'!F270</f>
        <v>0</v>
      </c>
      <c r="H270" s="115">
        <f>'Sampling Data'!G270</f>
        <v>0</v>
      </c>
      <c r="I270" s="115">
        <f>'Sampling Data'!H270</f>
        <v>0</v>
      </c>
      <c r="J270" s="115">
        <f>'Sampling Data'!I270</f>
        <v>0</v>
      </c>
      <c r="K270" s="115">
        <f>'Sampling Data'!J270</f>
        <v>0</v>
      </c>
      <c r="L270" s="115">
        <f>'Sampling Data'!K270</f>
        <v>0</v>
      </c>
      <c r="M270" s="115">
        <f>'Sampling Data'!L270</f>
        <v>0</v>
      </c>
      <c r="N270" s="115">
        <f>'Sampling Data'!M270</f>
        <v>0</v>
      </c>
      <c r="O270" s="114">
        <f>'Sampling Data'!N270</f>
        <v>0</v>
      </c>
      <c r="P270" s="114">
        <f>'Sampling Data'!O270</f>
        <v>1</v>
      </c>
      <c r="Q270" s="114">
        <f>'Sampling Data'!P270</f>
        <v>21</v>
      </c>
      <c r="R270" s="114">
        <f>'Sampling Data'!AJ270</f>
        <v>0</v>
      </c>
      <c r="S270" s="116"/>
      <c r="T270" s="116"/>
      <c r="U270" s="117"/>
      <c r="V270" s="117"/>
      <c r="W270" s="116"/>
      <c r="X270" s="116"/>
      <c r="Y270" s="116"/>
      <c r="Z270" s="116"/>
      <c r="AA270" s="15"/>
      <c r="AB270" s="15"/>
      <c r="AC270" s="15"/>
      <c r="AD270" s="15"/>
      <c r="AE270" s="118" t="str">
        <f>IF(NOT(ISBLANK(Audit[[#This Row],[Audit Winning Candidate]])), Audit[[#This Row],[Audit Winning Candidate]]-Audit[[#This Row],[Winning Candidate]], "")</f>
        <v/>
      </c>
      <c r="AF270" s="114" t="str">
        <f>IF(NOT(ISBLANK(Audit[[#This Row],[Audit Losing Candidate]])), Audit[[#This Row],[Audit Losing Candidate]]-Audit[[#This Row],[Losing Candidate]], "")</f>
        <v/>
      </c>
      <c r="AG270" s="114" t="str">
        <f>IF(NOT(ISBLANK(Audit[[#This Row],[Audit Candidate 3]])), Audit[[#This Row],[Audit Candidate 3]]-Audit[[#This Row],[Candidate 3]], "")</f>
        <v/>
      </c>
      <c r="AH270" s="114" t="str">
        <f>IF(NOT(ISBLANK(Audit[[#This Row],[Audit Candidate 4]])),Audit[[#This Row],[Audit Candidate 4]]-Audit[[#This Row],[Candidate 4]], "")</f>
        <v/>
      </c>
      <c r="AI270" s="114" t="str">
        <f>IF(NOT(ISBLANK(Audit[[#This Row],[Audit Candidate 5]])), Audit[[#This Row],[Audit Candidate 5]]-Audit[[#This Row],[Candidate 5]], "")</f>
        <v/>
      </c>
      <c r="AJ270" s="114" t="str">
        <f>IF(NOT(ISBLANK(Audit[[#This Row],[Audit Candidate 6]])), Audit[[#This Row],[Audit Candidate 6]]-Audit[[#This Row],[Candidate 6]], "")</f>
        <v/>
      </c>
      <c r="AK270" s="114" t="str">
        <f>IF(NOT(ISBLANK(Audit[[#This Row],[Audit Candidate 7]])), Audit[[#This Row],[Audit Candidate 7]]-Audit[[#This Row],[Candidate 7]], "")</f>
        <v/>
      </c>
      <c r="AL270" s="114" t="str">
        <f>IF(NOT(ISBLANK(Audit[[#This Row],[Audit Candidate 8]])), Audit[[#This Row],[Audit Candidate 8]]-Audit[[#This Row],[Candidate 8]], "")</f>
        <v/>
      </c>
      <c r="AM270" s="114" t="str">
        <f>IF(NOT(ISBLANK(Audit[[#This Row],[Audit Candidate 9]])), Audit[[#This Row],[Audit Candidate 9]]-Audit[[#This Row],[Candidate 9]], "")</f>
        <v/>
      </c>
      <c r="AN270" s="114" t="str">
        <f>IF(NOT(ISBLANK(Audit[[#This Row],[Audit Candidate 10]])), Audit[[#This Row],[Audit Candidate 10]]-Audit[[#This Row],[Candidate 10]], "")</f>
        <v/>
      </c>
      <c r="AO270" s="114" t="str">
        <f>IF(NOT(ISBLANK(Audit[[#This Row],[Audit Candidate 11]])), Audit[[#This Row],[Audit Candidate 11]]-Audit[[#This Row],[Candidate 11]], "")</f>
        <v/>
      </c>
      <c r="AP270" s="114" t="str">
        <f>IF(NOT(ISBLANK(Audit[[#This Row],[Audit Candidate 12]])), Audit[[#This Row],[Audit Candidate 12]]-Audit[[#This Row],[Candidate 12]], "")</f>
        <v/>
      </c>
      <c r="AQ270" s="114">
        <f>SUMIF(Audit[[#This Row],[Difference Winner]:[Difference Candidate 12]], "&gt;0")</f>
        <v>0</v>
      </c>
      <c r="AR270" s="114">
        <f>SUM(Audit[[#This Row],[Difference Winner]:[Difference Candidate 12]])</f>
        <v>0</v>
      </c>
      <c r="AS270" s="114">
        <f>IF(Audit[[#This Row],[Times p Drawn - With Replacement]]&gt;0, IF(Audit[[#This Row],[Canceled Differences]]&lt;0, Audit[[#This Row],[Max Differences]]+ABS(Audit[[#This Row],[Canceled Differences]]), Audit[[#This Row],[Max Differences]]), 0)</f>
        <v>0</v>
      </c>
      <c r="AT270" s="114">
        <f>'Sampling Data'!AB270</f>
        <v>2.4018709310410216E-3</v>
      </c>
      <c r="AU270" s="114">
        <f>IF(
      SUM(Audit[[#This Row],[Audit Losing Candidate]:[Audit Candidate 12]])
      &lt;&gt;0,
      (Audit[[#This Row],[Winning Candidate]]-Audit[[#This Row],[Losing Candidate]]-(Audit[[#This Row],[Audit Winning Candidate]]-Audit[[#This Row],[Audit Losing Candidate]]))/(Audit[[#Totals],[Winning Candidate]]-Audit[[#Totals],[Losing Candidate]]),
      0
)</f>
        <v>0</v>
      </c>
      <c r="AV2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0" s="114">
        <f>IF(Audit[[#This Row],[Max Relative Error (ep)]] = 0, 0, Audit[[#This Row],[Max Relative Error (ep)]]/Audit[[#This Row],[Error Bound (up) - Max. possible relative overstatement]])</f>
        <v>0</v>
      </c>
      <c r="BH2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0" s="114">
        <f t="shared" si="4"/>
        <v>1</v>
      </c>
      <c r="BJ270" s="114">
        <f>PRODUCT($BI$5:BI270)</f>
        <v>0.20973752198051165</v>
      </c>
      <c r="BK270" s="112">
        <f>1 - Audit[[#This Row],[K-M P Value]]</f>
        <v>0.79026247801948835</v>
      </c>
      <c r="BL270" s="114" t="str">
        <f>IF(Audit[[#This Row],[K-M P Value]]&gt;1-'General Info'!$B$12,"Continue", "Stop")</f>
        <v>Continue</v>
      </c>
      <c r="BM270" s="113" t="b">
        <f>IF(Audit[[#This Row],[Status - Continue or stop audit]] = "Continue", TRUE, IF(BL269 = "Continue", TRUE, FALSE))</f>
        <v>1</v>
      </c>
      <c r="BN270" s="113"/>
    </row>
    <row r="271" spans="1:66" ht="15" hidden="1" customHeight="1" x14ac:dyDescent="0.35">
      <c r="A271" s="114" t="str">
        <f>'Sampling Data'!AI271</f>
        <v/>
      </c>
      <c r="B271" s="114" t="str">
        <f>'Sampling Data'!A271</f>
        <v>1104 CIN 11-D   (ED)</v>
      </c>
      <c r="C271" s="114">
        <f>'Sampling Data'!B271</f>
        <v>50</v>
      </c>
      <c r="D271" s="114">
        <f>'Sampling Data'!C271</f>
        <v>4</v>
      </c>
      <c r="E271" s="115">
        <f>'Sampling Data'!D271</f>
        <v>3</v>
      </c>
      <c r="F271" s="115">
        <f>'Sampling Data'!E271</f>
        <v>0</v>
      </c>
      <c r="G271" s="115">
        <f>'Sampling Data'!F271</f>
        <v>0</v>
      </c>
      <c r="H271" s="115">
        <f>'Sampling Data'!G271</f>
        <v>0</v>
      </c>
      <c r="I271" s="115">
        <f>'Sampling Data'!H271</f>
        <v>0</v>
      </c>
      <c r="J271" s="115">
        <f>'Sampling Data'!I271</f>
        <v>0</v>
      </c>
      <c r="K271" s="115">
        <f>'Sampling Data'!J271</f>
        <v>0</v>
      </c>
      <c r="L271" s="115">
        <f>'Sampling Data'!K271</f>
        <v>0</v>
      </c>
      <c r="M271" s="115">
        <f>'Sampling Data'!L271</f>
        <v>0</v>
      </c>
      <c r="N271" s="115">
        <f>'Sampling Data'!M271</f>
        <v>0</v>
      </c>
      <c r="O271" s="114">
        <f>'Sampling Data'!N271</f>
        <v>0</v>
      </c>
      <c r="P271" s="114">
        <f>'Sampling Data'!O271</f>
        <v>0</v>
      </c>
      <c r="Q271" s="114">
        <f>'Sampling Data'!P271</f>
        <v>57</v>
      </c>
      <c r="R271" s="114">
        <f>'Sampling Data'!AJ271</f>
        <v>0</v>
      </c>
      <c r="S271" s="116"/>
      <c r="T271" s="116"/>
      <c r="U271" s="117"/>
      <c r="V271" s="117"/>
      <c r="W271" s="116"/>
      <c r="X271" s="116"/>
      <c r="Y271" s="116"/>
      <c r="Z271" s="116"/>
      <c r="AA271" s="15"/>
      <c r="AB271" s="15"/>
      <c r="AC271" s="15"/>
      <c r="AD271" s="15"/>
      <c r="AE271" s="118" t="str">
        <f>IF(NOT(ISBLANK(Audit[[#This Row],[Audit Winning Candidate]])), Audit[[#This Row],[Audit Winning Candidate]]-Audit[[#This Row],[Winning Candidate]], "")</f>
        <v/>
      </c>
      <c r="AF271" s="114" t="str">
        <f>IF(NOT(ISBLANK(Audit[[#This Row],[Audit Losing Candidate]])), Audit[[#This Row],[Audit Losing Candidate]]-Audit[[#This Row],[Losing Candidate]], "")</f>
        <v/>
      </c>
      <c r="AG271" s="114" t="str">
        <f>IF(NOT(ISBLANK(Audit[[#This Row],[Audit Candidate 3]])), Audit[[#This Row],[Audit Candidate 3]]-Audit[[#This Row],[Candidate 3]], "")</f>
        <v/>
      </c>
      <c r="AH271" s="114" t="str">
        <f>IF(NOT(ISBLANK(Audit[[#This Row],[Audit Candidate 4]])),Audit[[#This Row],[Audit Candidate 4]]-Audit[[#This Row],[Candidate 4]], "")</f>
        <v/>
      </c>
      <c r="AI271" s="114" t="str">
        <f>IF(NOT(ISBLANK(Audit[[#This Row],[Audit Candidate 5]])), Audit[[#This Row],[Audit Candidate 5]]-Audit[[#This Row],[Candidate 5]], "")</f>
        <v/>
      </c>
      <c r="AJ271" s="114" t="str">
        <f>IF(NOT(ISBLANK(Audit[[#This Row],[Audit Candidate 6]])), Audit[[#This Row],[Audit Candidate 6]]-Audit[[#This Row],[Candidate 6]], "")</f>
        <v/>
      </c>
      <c r="AK271" s="114" t="str">
        <f>IF(NOT(ISBLANK(Audit[[#This Row],[Audit Candidate 7]])), Audit[[#This Row],[Audit Candidate 7]]-Audit[[#This Row],[Candidate 7]], "")</f>
        <v/>
      </c>
      <c r="AL271" s="114" t="str">
        <f>IF(NOT(ISBLANK(Audit[[#This Row],[Audit Candidate 8]])), Audit[[#This Row],[Audit Candidate 8]]-Audit[[#This Row],[Candidate 8]], "")</f>
        <v/>
      </c>
      <c r="AM271" s="114" t="str">
        <f>IF(NOT(ISBLANK(Audit[[#This Row],[Audit Candidate 9]])), Audit[[#This Row],[Audit Candidate 9]]-Audit[[#This Row],[Candidate 9]], "")</f>
        <v/>
      </c>
      <c r="AN271" s="114" t="str">
        <f>IF(NOT(ISBLANK(Audit[[#This Row],[Audit Candidate 10]])), Audit[[#This Row],[Audit Candidate 10]]-Audit[[#This Row],[Candidate 10]], "")</f>
        <v/>
      </c>
      <c r="AO271" s="114" t="str">
        <f>IF(NOT(ISBLANK(Audit[[#This Row],[Audit Candidate 11]])), Audit[[#This Row],[Audit Candidate 11]]-Audit[[#This Row],[Candidate 11]], "")</f>
        <v/>
      </c>
      <c r="AP271" s="114" t="str">
        <f>IF(NOT(ISBLANK(Audit[[#This Row],[Audit Candidate 12]])), Audit[[#This Row],[Audit Candidate 12]]-Audit[[#This Row],[Candidate 12]], "")</f>
        <v/>
      </c>
      <c r="AQ271" s="114">
        <f>SUMIF(Audit[[#This Row],[Difference Winner]:[Difference Candidate 12]], "&gt;0")</f>
        <v>0</v>
      </c>
      <c r="AR271" s="114">
        <f>SUM(Audit[[#This Row],[Difference Winner]:[Difference Candidate 12]])</f>
        <v>0</v>
      </c>
      <c r="AS271" s="114">
        <f>IF(Audit[[#This Row],[Times p Drawn - With Replacement]]&gt;0, IF(Audit[[#This Row],[Canceled Differences]]&lt;0, Audit[[#This Row],[Max Differences]]+ABS(Audit[[#This Row],[Canceled Differences]]), Audit[[#This Row],[Max Differences]]), 0)</f>
        <v>0</v>
      </c>
      <c r="AT271" s="114">
        <f>'Sampling Data'!AB271</f>
        <v>6.5103343657164532E-3</v>
      </c>
      <c r="AU271" s="114">
        <f>IF(
      SUM(Audit[[#This Row],[Audit Losing Candidate]:[Audit Candidate 12]])
      &lt;&gt;0,
      (Audit[[#This Row],[Winning Candidate]]-Audit[[#This Row],[Losing Candidate]]-(Audit[[#This Row],[Audit Winning Candidate]]-Audit[[#This Row],[Audit Losing Candidate]]))/(Audit[[#Totals],[Winning Candidate]]-Audit[[#Totals],[Losing Candidate]]),
      0
)</f>
        <v>0</v>
      </c>
      <c r="AV2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1" s="114">
        <f>IF(Audit[[#This Row],[Max Relative Error (ep)]] = 0, 0, Audit[[#This Row],[Max Relative Error (ep)]]/Audit[[#This Row],[Error Bound (up) - Max. possible relative overstatement]])</f>
        <v>0</v>
      </c>
      <c r="BH2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1" s="114">
        <f t="shared" ref="BI271:BI334" si="5">IF(ISERR(POWER(BH271,R271)), 0, POWER(BH271,R271))</f>
        <v>1</v>
      </c>
      <c r="BJ271" s="114">
        <f>PRODUCT($BI$5:BI271)</f>
        <v>0.20973752198051165</v>
      </c>
      <c r="BK271" s="112">
        <f>1 - Audit[[#This Row],[K-M P Value]]</f>
        <v>0.79026247801948835</v>
      </c>
      <c r="BL271" s="114" t="str">
        <f>IF(Audit[[#This Row],[K-M P Value]]&gt;1-'General Info'!$B$12,"Continue", "Stop")</f>
        <v>Continue</v>
      </c>
      <c r="BM271" s="113" t="b">
        <f>IF(Audit[[#This Row],[Status - Continue or stop audit]] = "Continue", TRUE, IF(BL270 = "Continue", TRUE, FALSE))</f>
        <v>1</v>
      </c>
      <c r="BN271" s="113"/>
    </row>
    <row r="272" spans="1:66" ht="15" hidden="1" customHeight="1" x14ac:dyDescent="0.35">
      <c r="A272" s="114" t="str">
        <f>'Sampling Data'!AI272</f>
        <v/>
      </c>
      <c r="B272" s="114" t="str">
        <f>'Sampling Data'!A272</f>
        <v>1201 CIN 12-A   (ED)</v>
      </c>
      <c r="C272" s="114">
        <f>'Sampling Data'!B272</f>
        <v>26</v>
      </c>
      <c r="D272" s="114">
        <f>'Sampling Data'!C272</f>
        <v>2</v>
      </c>
      <c r="E272" s="115">
        <f>'Sampling Data'!D272</f>
        <v>2</v>
      </c>
      <c r="F272" s="115">
        <f>'Sampling Data'!E272</f>
        <v>0</v>
      </c>
      <c r="G272" s="115">
        <f>'Sampling Data'!F272</f>
        <v>0</v>
      </c>
      <c r="H272" s="115">
        <f>'Sampling Data'!G272</f>
        <v>0</v>
      </c>
      <c r="I272" s="115">
        <f>'Sampling Data'!H272</f>
        <v>0</v>
      </c>
      <c r="J272" s="115">
        <f>'Sampling Data'!I272</f>
        <v>0</v>
      </c>
      <c r="K272" s="115">
        <f>'Sampling Data'!J272</f>
        <v>0</v>
      </c>
      <c r="L272" s="115">
        <f>'Sampling Data'!K272</f>
        <v>0</v>
      </c>
      <c r="M272" s="115">
        <f>'Sampling Data'!L272</f>
        <v>0</v>
      </c>
      <c r="N272" s="115">
        <f>'Sampling Data'!M272</f>
        <v>0</v>
      </c>
      <c r="O272" s="114">
        <f>'Sampling Data'!N272</f>
        <v>0</v>
      </c>
      <c r="P272" s="114">
        <f>'Sampling Data'!O272</f>
        <v>0</v>
      </c>
      <c r="Q272" s="114">
        <f>'Sampling Data'!P272</f>
        <v>30</v>
      </c>
      <c r="R272" s="114">
        <f>'Sampling Data'!AJ272</f>
        <v>0</v>
      </c>
      <c r="S272" s="116"/>
      <c r="T272" s="116"/>
      <c r="U272" s="117"/>
      <c r="V272" s="117"/>
      <c r="W272" s="116"/>
      <c r="X272" s="116"/>
      <c r="Y272" s="116"/>
      <c r="Z272" s="116"/>
      <c r="AA272" s="15"/>
      <c r="AB272" s="15"/>
      <c r="AC272" s="15"/>
      <c r="AD272" s="15"/>
      <c r="AE272" s="118" t="str">
        <f>IF(NOT(ISBLANK(Audit[[#This Row],[Audit Winning Candidate]])), Audit[[#This Row],[Audit Winning Candidate]]-Audit[[#This Row],[Winning Candidate]], "")</f>
        <v/>
      </c>
      <c r="AF272" s="114" t="str">
        <f>IF(NOT(ISBLANK(Audit[[#This Row],[Audit Losing Candidate]])), Audit[[#This Row],[Audit Losing Candidate]]-Audit[[#This Row],[Losing Candidate]], "")</f>
        <v/>
      </c>
      <c r="AG272" s="114" t="str">
        <f>IF(NOT(ISBLANK(Audit[[#This Row],[Audit Candidate 3]])), Audit[[#This Row],[Audit Candidate 3]]-Audit[[#This Row],[Candidate 3]], "")</f>
        <v/>
      </c>
      <c r="AH272" s="114" t="str">
        <f>IF(NOT(ISBLANK(Audit[[#This Row],[Audit Candidate 4]])),Audit[[#This Row],[Audit Candidate 4]]-Audit[[#This Row],[Candidate 4]], "")</f>
        <v/>
      </c>
      <c r="AI272" s="114" t="str">
        <f>IF(NOT(ISBLANK(Audit[[#This Row],[Audit Candidate 5]])), Audit[[#This Row],[Audit Candidate 5]]-Audit[[#This Row],[Candidate 5]], "")</f>
        <v/>
      </c>
      <c r="AJ272" s="114" t="str">
        <f>IF(NOT(ISBLANK(Audit[[#This Row],[Audit Candidate 6]])), Audit[[#This Row],[Audit Candidate 6]]-Audit[[#This Row],[Candidate 6]], "")</f>
        <v/>
      </c>
      <c r="AK272" s="114" t="str">
        <f>IF(NOT(ISBLANK(Audit[[#This Row],[Audit Candidate 7]])), Audit[[#This Row],[Audit Candidate 7]]-Audit[[#This Row],[Candidate 7]], "")</f>
        <v/>
      </c>
      <c r="AL272" s="114" t="str">
        <f>IF(NOT(ISBLANK(Audit[[#This Row],[Audit Candidate 8]])), Audit[[#This Row],[Audit Candidate 8]]-Audit[[#This Row],[Candidate 8]], "")</f>
        <v/>
      </c>
      <c r="AM272" s="114" t="str">
        <f>IF(NOT(ISBLANK(Audit[[#This Row],[Audit Candidate 9]])), Audit[[#This Row],[Audit Candidate 9]]-Audit[[#This Row],[Candidate 9]], "")</f>
        <v/>
      </c>
      <c r="AN272" s="114" t="str">
        <f>IF(NOT(ISBLANK(Audit[[#This Row],[Audit Candidate 10]])), Audit[[#This Row],[Audit Candidate 10]]-Audit[[#This Row],[Candidate 10]], "")</f>
        <v/>
      </c>
      <c r="AO272" s="114" t="str">
        <f>IF(NOT(ISBLANK(Audit[[#This Row],[Audit Candidate 11]])), Audit[[#This Row],[Audit Candidate 11]]-Audit[[#This Row],[Candidate 11]], "")</f>
        <v/>
      </c>
      <c r="AP272" s="114" t="str">
        <f>IF(NOT(ISBLANK(Audit[[#This Row],[Audit Candidate 12]])), Audit[[#This Row],[Audit Candidate 12]]-Audit[[#This Row],[Candidate 12]], "")</f>
        <v/>
      </c>
      <c r="AQ272" s="114">
        <f>SUMIF(Audit[[#This Row],[Difference Winner]:[Difference Candidate 12]], "&gt;0")</f>
        <v>0</v>
      </c>
      <c r="AR272" s="114">
        <f>SUM(Audit[[#This Row],[Difference Winner]:[Difference Candidate 12]])</f>
        <v>0</v>
      </c>
      <c r="AS272" s="114">
        <f>IF(Audit[[#This Row],[Times p Drawn - With Replacement]]&gt;0, IF(Audit[[#This Row],[Canceled Differences]]&lt;0, Audit[[#This Row],[Max Differences]]+ABS(Audit[[#This Row],[Canceled Differences]]), Audit[[#This Row],[Max Differences]]), 0)</f>
        <v>0</v>
      </c>
      <c r="AT272" s="114">
        <f>'Sampling Data'!AB272</f>
        <v>3.4131850072688201E-3</v>
      </c>
      <c r="AU272" s="114">
        <f>IF(
      SUM(Audit[[#This Row],[Audit Losing Candidate]:[Audit Candidate 12]])
      &lt;&gt;0,
      (Audit[[#This Row],[Winning Candidate]]-Audit[[#This Row],[Losing Candidate]]-(Audit[[#This Row],[Audit Winning Candidate]]-Audit[[#This Row],[Audit Losing Candidate]]))/(Audit[[#Totals],[Winning Candidate]]-Audit[[#Totals],[Losing Candidate]]),
      0
)</f>
        <v>0</v>
      </c>
      <c r="AV2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2" s="114">
        <f>IF(Audit[[#This Row],[Max Relative Error (ep)]] = 0, 0, Audit[[#This Row],[Max Relative Error (ep)]]/Audit[[#This Row],[Error Bound (up) - Max. possible relative overstatement]])</f>
        <v>0</v>
      </c>
      <c r="BH2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2" s="114">
        <f t="shared" si="5"/>
        <v>1</v>
      </c>
      <c r="BJ272" s="114">
        <f>PRODUCT($BI$5:BI272)</f>
        <v>0.20973752198051165</v>
      </c>
      <c r="BK272" s="112">
        <f>1 - Audit[[#This Row],[K-M P Value]]</f>
        <v>0.79026247801948835</v>
      </c>
      <c r="BL272" s="114" t="str">
        <f>IF(Audit[[#This Row],[K-M P Value]]&gt;1-'General Info'!$B$12,"Continue", "Stop")</f>
        <v>Continue</v>
      </c>
      <c r="BM272" s="113" t="b">
        <f>IF(Audit[[#This Row],[Status - Continue or stop audit]] = "Continue", TRUE, IF(BL271 = "Continue", TRUE, FALSE))</f>
        <v>1</v>
      </c>
      <c r="BN272" s="113"/>
    </row>
    <row r="273" spans="1:66" ht="15" hidden="1" customHeight="1" x14ac:dyDescent="0.35">
      <c r="A273" s="114" t="str">
        <f>'Sampling Data'!AI273</f>
        <v/>
      </c>
      <c r="B273" s="114" t="str">
        <f>'Sampling Data'!A273</f>
        <v>1202 CIN 12-B   (ED)</v>
      </c>
      <c r="C273" s="114">
        <f>'Sampling Data'!B273</f>
        <v>1</v>
      </c>
      <c r="D273" s="114">
        <f>'Sampling Data'!C273</f>
        <v>0</v>
      </c>
      <c r="E273" s="115">
        <f>'Sampling Data'!D273</f>
        <v>0</v>
      </c>
      <c r="F273" s="115">
        <f>'Sampling Data'!E273</f>
        <v>0</v>
      </c>
      <c r="G273" s="115">
        <f>'Sampling Data'!F273</f>
        <v>0</v>
      </c>
      <c r="H273" s="115">
        <f>'Sampling Data'!G273</f>
        <v>0</v>
      </c>
      <c r="I273" s="115">
        <f>'Sampling Data'!H273</f>
        <v>0</v>
      </c>
      <c r="J273" s="115">
        <f>'Sampling Data'!I273</f>
        <v>0</v>
      </c>
      <c r="K273" s="115">
        <f>'Sampling Data'!J273</f>
        <v>0</v>
      </c>
      <c r="L273" s="115">
        <f>'Sampling Data'!K273</f>
        <v>0</v>
      </c>
      <c r="M273" s="115">
        <f>'Sampling Data'!L273</f>
        <v>0</v>
      </c>
      <c r="N273" s="115">
        <f>'Sampling Data'!M273</f>
        <v>0</v>
      </c>
      <c r="O273" s="114">
        <f>'Sampling Data'!N273</f>
        <v>0</v>
      </c>
      <c r="P273" s="114">
        <f>'Sampling Data'!O273</f>
        <v>0</v>
      </c>
      <c r="Q273" s="114">
        <f>'Sampling Data'!P273</f>
        <v>1</v>
      </c>
      <c r="R273" s="114">
        <f>'Sampling Data'!AJ273</f>
        <v>0</v>
      </c>
      <c r="S273" s="116"/>
      <c r="T273" s="116"/>
      <c r="U273" s="117"/>
      <c r="V273" s="117"/>
      <c r="W273" s="116"/>
      <c r="X273" s="116"/>
      <c r="Y273" s="116"/>
      <c r="Z273" s="116"/>
      <c r="AA273" s="15"/>
      <c r="AB273" s="15"/>
      <c r="AC273" s="15"/>
      <c r="AD273" s="15"/>
      <c r="AE273" s="118" t="str">
        <f>IF(NOT(ISBLANK(Audit[[#This Row],[Audit Winning Candidate]])), Audit[[#This Row],[Audit Winning Candidate]]-Audit[[#This Row],[Winning Candidate]], "")</f>
        <v/>
      </c>
      <c r="AF273" s="114" t="str">
        <f>IF(NOT(ISBLANK(Audit[[#This Row],[Audit Losing Candidate]])), Audit[[#This Row],[Audit Losing Candidate]]-Audit[[#This Row],[Losing Candidate]], "")</f>
        <v/>
      </c>
      <c r="AG273" s="114" t="str">
        <f>IF(NOT(ISBLANK(Audit[[#This Row],[Audit Candidate 3]])), Audit[[#This Row],[Audit Candidate 3]]-Audit[[#This Row],[Candidate 3]], "")</f>
        <v/>
      </c>
      <c r="AH273" s="114" t="str">
        <f>IF(NOT(ISBLANK(Audit[[#This Row],[Audit Candidate 4]])),Audit[[#This Row],[Audit Candidate 4]]-Audit[[#This Row],[Candidate 4]], "")</f>
        <v/>
      </c>
      <c r="AI273" s="114" t="str">
        <f>IF(NOT(ISBLANK(Audit[[#This Row],[Audit Candidate 5]])), Audit[[#This Row],[Audit Candidate 5]]-Audit[[#This Row],[Candidate 5]], "")</f>
        <v/>
      </c>
      <c r="AJ273" s="114" t="str">
        <f>IF(NOT(ISBLANK(Audit[[#This Row],[Audit Candidate 6]])), Audit[[#This Row],[Audit Candidate 6]]-Audit[[#This Row],[Candidate 6]], "")</f>
        <v/>
      </c>
      <c r="AK273" s="114" t="str">
        <f>IF(NOT(ISBLANK(Audit[[#This Row],[Audit Candidate 7]])), Audit[[#This Row],[Audit Candidate 7]]-Audit[[#This Row],[Candidate 7]], "")</f>
        <v/>
      </c>
      <c r="AL273" s="114" t="str">
        <f>IF(NOT(ISBLANK(Audit[[#This Row],[Audit Candidate 8]])), Audit[[#This Row],[Audit Candidate 8]]-Audit[[#This Row],[Candidate 8]], "")</f>
        <v/>
      </c>
      <c r="AM273" s="114" t="str">
        <f>IF(NOT(ISBLANK(Audit[[#This Row],[Audit Candidate 9]])), Audit[[#This Row],[Audit Candidate 9]]-Audit[[#This Row],[Candidate 9]], "")</f>
        <v/>
      </c>
      <c r="AN273" s="114" t="str">
        <f>IF(NOT(ISBLANK(Audit[[#This Row],[Audit Candidate 10]])), Audit[[#This Row],[Audit Candidate 10]]-Audit[[#This Row],[Candidate 10]], "")</f>
        <v/>
      </c>
      <c r="AO273" s="114" t="str">
        <f>IF(NOT(ISBLANK(Audit[[#This Row],[Audit Candidate 11]])), Audit[[#This Row],[Audit Candidate 11]]-Audit[[#This Row],[Candidate 11]], "")</f>
        <v/>
      </c>
      <c r="AP273" s="114" t="str">
        <f>IF(NOT(ISBLANK(Audit[[#This Row],[Audit Candidate 12]])), Audit[[#This Row],[Audit Candidate 12]]-Audit[[#This Row],[Candidate 12]], "")</f>
        <v/>
      </c>
      <c r="AQ273" s="114">
        <f>SUMIF(Audit[[#This Row],[Difference Winner]:[Difference Candidate 12]], "&gt;0")</f>
        <v>0</v>
      </c>
      <c r="AR273" s="114">
        <f>SUM(Audit[[#This Row],[Difference Winner]:[Difference Candidate 12]])</f>
        <v>0</v>
      </c>
      <c r="AS273" s="114">
        <f>IF(Audit[[#This Row],[Times p Drawn - With Replacement]]&gt;0, IF(Audit[[#This Row],[Canceled Differences]]&lt;0, Audit[[#This Row],[Max Differences]]+ABS(Audit[[#This Row],[Canceled Differences]]), Audit[[#This Row],[Max Differences]]), 0)</f>
        <v>0</v>
      </c>
      <c r="AT273" s="114">
        <f>'Sampling Data'!AB273</f>
        <v>1.2641425952847481E-4</v>
      </c>
      <c r="AU273" s="114">
        <f>IF(
      SUM(Audit[[#This Row],[Audit Losing Candidate]:[Audit Candidate 12]])
      &lt;&gt;0,
      (Audit[[#This Row],[Winning Candidate]]-Audit[[#This Row],[Losing Candidate]]-(Audit[[#This Row],[Audit Winning Candidate]]-Audit[[#This Row],[Audit Losing Candidate]]))/(Audit[[#Totals],[Winning Candidate]]-Audit[[#Totals],[Losing Candidate]]),
      0
)</f>
        <v>0</v>
      </c>
      <c r="AV2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3" s="114">
        <f>IF(Audit[[#This Row],[Max Relative Error (ep)]] = 0, 0, Audit[[#This Row],[Max Relative Error (ep)]]/Audit[[#This Row],[Error Bound (up) - Max. possible relative overstatement]])</f>
        <v>0</v>
      </c>
      <c r="BH2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3" s="114">
        <f t="shared" si="5"/>
        <v>1</v>
      </c>
      <c r="BJ273" s="114">
        <f>PRODUCT($BI$5:BI273)</f>
        <v>0.20973752198051165</v>
      </c>
      <c r="BK273" s="112">
        <f>1 - Audit[[#This Row],[K-M P Value]]</f>
        <v>0.79026247801948835</v>
      </c>
      <c r="BL273" s="114" t="str">
        <f>IF(Audit[[#This Row],[K-M P Value]]&gt;1-'General Info'!$B$12,"Continue", "Stop")</f>
        <v>Continue</v>
      </c>
      <c r="BM273" s="113" t="b">
        <f>IF(Audit[[#This Row],[Status - Continue or stop audit]] = "Continue", TRUE, IF(BL272 = "Continue", TRUE, FALSE))</f>
        <v>1</v>
      </c>
      <c r="BN273" s="113"/>
    </row>
    <row r="274" spans="1:66" ht="15" hidden="1" customHeight="1" x14ac:dyDescent="0.35">
      <c r="A274" s="114" t="str">
        <f>'Sampling Data'!AI274</f>
        <v/>
      </c>
      <c r="B274" s="114" t="str">
        <f>'Sampling Data'!A274</f>
        <v>1203 CIN 12-C   (ED)</v>
      </c>
      <c r="C274" s="114">
        <f>'Sampling Data'!B274</f>
        <v>36</v>
      </c>
      <c r="D274" s="114">
        <f>'Sampling Data'!C274</f>
        <v>0</v>
      </c>
      <c r="E274" s="115">
        <f>'Sampling Data'!D274</f>
        <v>0</v>
      </c>
      <c r="F274" s="115">
        <f>'Sampling Data'!E274</f>
        <v>0</v>
      </c>
      <c r="G274" s="115">
        <f>'Sampling Data'!F274</f>
        <v>0</v>
      </c>
      <c r="H274" s="115">
        <f>'Sampling Data'!G274</f>
        <v>0</v>
      </c>
      <c r="I274" s="115">
        <f>'Sampling Data'!H274</f>
        <v>0</v>
      </c>
      <c r="J274" s="115">
        <f>'Sampling Data'!I274</f>
        <v>0</v>
      </c>
      <c r="K274" s="115">
        <f>'Sampling Data'!J274</f>
        <v>0</v>
      </c>
      <c r="L274" s="115">
        <f>'Sampling Data'!K274</f>
        <v>0</v>
      </c>
      <c r="M274" s="115">
        <f>'Sampling Data'!L274</f>
        <v>0</v>
      </c>
      <c r="N274" s="115">
        <f>'Sampling Data'!M274</f>
        <v>0</v>
      </c>
      <c r="O274" s="114">
        <f>'Sampling Data'!N274</f>
        <v>0</v>
      </c>
      <c r="P274" s="114">
        <f>'Sampling Data'!O274</f>
        <v>1</v>
      </c>
      <c r="Q274" s="114">
        <f>'Sampling Data'!P274</f>
        <v>37</v>
      </c>
      <c r="R274" s="114">
        <f>'Sampling Data'!AJ274</f>
        <v>0</v>
      </c>
      <c r="S274" s="116"/>
      <c r="T274" s="116"/>
      <c r="U274" s="117"/>
      <c r="V274" s="117"/>
      <c r="W274" s="116"/>
      <c r="X274" s="116"/>
      <c r="Y274" s="116"/>
      <c r="Z274" s="116"/>
      <c r="AA274" s="15"/>
      <c r="AB274" s="15"/>
      <c r="AC274" s="15"/>
      <c r="AD274" s="15"/>
      <c r="AE274" s="118" t="str">
        <f>IF(NOT(ISBLANK(Audit[[#This Row],[Audit Winning Candidate]])), Audit[[#This Row],[Audit Winning Candidate]]-Audit[[#This Row],[Winning Candidate]], "")</f>
        <v/>
      </c>
      <c r="AF274" s="114" t="str">
        <f>IF(NOT(ISBLANK(Audit[[#This Row],[Audit Losing Candidate]])), Audit[[#This Row],[Audit Losing Candidate]]-Audit[[#This Row],[Losing Candidate]], "")</f>
        <v/>
      </c>
      <c r="AG274" s="114" t="str">
        <f>IF(NOT(ISBLANK(Audit[[#This Row],[Audit Candidate 3]])), Audit[[#This Row],[Audit Candidate 3]]-Audit[[#This Row],[Candidate 3]], "")</f>
        <v/>
      </c>
      <c r="AH274" s="114" t="str">
        <f>IF(NOT(ISBLANK(Audit[[#This Row],[Audit Candidate 4]])),Audit[[#This Row],[Audit Candidate 4]]-Audit[[#This Row],[Candidate 4]], "")</f>
        <v/>
      </c>
      <c r="AI274" s="114" t="str">
        <f>IF(NOT(ISBLANK(Audit[[#This Row],[Audit Candidate 5]])), Audit[[#This Row],[Audit Candidate 5]]-Audit[[#This Row],[Candidate 5]], "")</f>
        <v/>
      </c>
      <c r="AJ274" s="114" t="str">
        <f>IF(NOT(ISBLANK(Audit[[#This Row],[Audit Candidate 6]])), Audit[[#This Row],[Audit Candidate 6]]-Audit[[#This Row],[Candidate 6]], "")</f>
        <v/>
      </c>
      <c r="AK274" s="114" t="str">
        <f>IF(NOT(ISBLANK(Audit[[#This Row],[Audit Candidate 7]])), Audit[[#This Row],[Audit Candidate 7]]-Audit[[#This Row],[Candidate 7]], "")</f>
        <v/>
      </c>
      <c r="AL274" s="114" t="str">
        <f>IF(NOT(ISBLANK(Audit[[#This Row],[Audit Candidate 8]])), Audit[[#This Row],[Audit Candidate 8]]-Audit[[#This Row],[Candidate 8]], "")</f>
        <v/>
      </c>
      <c r="AM274" s="114" t="str">
        <f>IF(NOT(ISBLANK(Audit[[#This Row],[Audit Candidate 9]])), Audit[[#This Row],[Audit Candidate 9]]-Audit[[#This Row],[Candidate 9]], "")</f>
        <v/>
      </c>
      <c r="AN274" s="114" t="str">
        <f>IF(NOT(ISBLANK(Audit[[#This Row],[Audit Candidate 10]])), Audit[[#This Row],[Audit Candidate 10]]-Audit[[#This Row],[Candidate 10]], "")</f>
        <v/>
      </c>
      <c r="AO274" s="114" t="str">
        <f>IF(NOT(ISBLANK(Audit[[#This Row],[Audit Candidate 11]])), Audit[[#This Row],[Audit Candidate 11]]-Audit[[#This Row],[Candidate 11]], "")</f>
        <v/>
      </c>
      <c r="AP274" s="114" t="str">
        <f>IF(NOT(ISBLANK(Audit[[#This Row],[Audit Candidate 12]])), Audit[[#This Row],[Audit Candidate 12]]-Audit[[#This Row],[Candidate 12]], "")</f>
        <v/>
      </c>
      <c r="AQ274" s="114">
        <f>SUMIF(Audit[[#This Row],[Difference Winner]:[Difference Candidate 12]], "&gt;0")</f>
        <v>0</v>
      </c>
      <c r="AR274" s="114">
        <f>SUM(Audit[[#This Row],[Difference Winner]:[Difference Candidate 12]])</f>
        <v>0</v>
      </c>
      <c r="AS274" s="114">
        <f>IF(Audit[[#This Row],[Times p Drawn - With Replacement]]&gt;0, IF(Audit[[#This Row],[Canceled Differences]]&lt;0, Audit[[#This Row],[Max Differences]]+ABS(Audit[[#This Row],[Canceled Differences]]), Audit[[#This Row],[Max Differences]]), 0)</f>
        <v>0</v>
      </c>
      <c r="AT274" s="114">
        <f>'Sampling Data'!AB274</f>
        <v>4.6141204727893305E-3</v>
      </c>
      <c r="AU274" s="114">
        <f>IF(
      SUM(Audit[[#This Row],[Audit Losing Candidate]:[Audit Candidate 12]])
      &lt;&gt;0,
      (Audit[[#This Row],[Winning Candidate]]-Audit[[#This Row],[Losing Candidate]]-(Audit[[#This Row],[Audit Winning Candidate]]-Audit[[#This Row],[Audit Losing Candidate]]))/(Audit[[#Totals],[Winning Candidate]]-Audit[[#Totals],[Losing Candidate]]),
      0
)</f>
        <v>0</v>
      </c>
      <c r="AV2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4" s="114">
        <f>IF(Audit[[#This Row],[Max Relative Error (ep)]] = 0, 0, Audit[[#This Row],[Max Relative Error (ep)]]/Audit[[#This Row],[Error Bound (up) - Max. possible relative overstatement]])</f>
        <v>0</v>
      </c>
      <c r="BH2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4" s="114">
        <f t="shared" si="5"/>
        <v>1</v>
      </c>
      <c r="BJ274" s="114">
        <f>PRODUCT($BI$5:BI274)</f>
        <v>0.20973752198051165</v>
      </c>
      <c r="BK274" s="112">
        <f>1 - Audit[[#This Row],[K-M P Value]]</f>
        <v>0.79026247801948835</v>
      </c>
      <c r="BL274" s="114" t="str">
        <f>IF(Audit[[#This Row],[K-M P Value]]&gt;1-'General Info'!$B$12,"Continue", "Stop")</f>
        <v>Continue</v>
      </c>
      <c r="BM274" s="113" t="b">
        <f>IF(Audit[[#This Row],[Status - Continue or stop audit]] = "Continue", TRUE, IF(BL273 = "Continue", TRUE, FALSE))</f>
        <v>1</v>
      </c>
      <c r="BN274" s="113"/>
    </row>
    <row r="275" spans="1:66" ht="15" hidden="1" customHeight="1" x14ac:dyDescent="0.35">
      <c r="A275" s="114" t="str">
        <f>'Sampling Data'!AI275</f>
        <v/>
      </c>
      <c r="B275" s="114" t="str">
        <f>'Sampling Data'!A275</f>
        <v>1204 CIN 12-D   (ED)</v>
      </c>
      <c r="C275" s="114">
        <f>'Sampling Data'!B275</f>
        <v>44</v>
      </c>
      <c r="D275" s="114">
        <f>'Sampling Data'!C275</f>
        <v>1</v>
      </c>
      <c r="E275" s="115">
        <f>'Sampling Data'!D275</f>
        <v>2</v>
      </c>
      <c r="F275" s="115">
        <f>'Sampling Data'!E275</f>
        <v>0</v>
      </c>
      <c r="G275" s="115">
        <f>'Sampling Data'!F275</f>
        <v>0</v>
      </c>
      <c r="H275" s="115">
        <f>'Sampling Data'!G275</f>
        <v>0</v>
      </c>
      <c r="I275" s="115">
        <f>'Sampling Data'!H275</f>
        <v>0</v>
      </c>
      <c r="J275" s="115">
        <f>'Sampling Data'!I275</f>
        <v>0</v>
      </c>
      <c r="K275" s="115">
        <f>'Sampling Data'!J275</f>
        <v>0</v>
      </c>
      <c r="L275" s="115">
        <f>'Sampling Data'!K275</f>
        <v>0</v>
      </c>
      <c r="M275" s="115">
        <f>'Sampling Data'!L275</f>
        <v>0</v>
      </c>
      <c r="N275" s="115">
        <f>'Sampling Data'!M275</f>
        <v>0</v>
      </c>
      <c r="O275" s="114">
        <f>'Sampling Data'!N275</f>
        <v>0</v>
      </c>
      <c r="P275" s="114">
        <f>'Sampling Data'!O275</f>
        <v>2</v>
      </c>
      <c r="Q275" s="114">
        <f>'Sampling Data'!P275</f>
        <v>49</v>
      </c>
      <c r="R275" s="114">
        <f>'Sampling Data'!AJ275</f>
        <v>0</v>
      </c>
      <c r="S275" s="116"/>
      <c r="T275" s="116"/>
      <c r="U275" s="117"/>
      <c r="V275" s="117"/>
      <c r="W275" s="116"/>
      <c r="X275" s="116"/>
      <c r="Y275" s="116"/>
      <c r="Z275" s="116"/>
      <c r="AA275" s="15"/>
      <c r="AB275" s="15"/>
      <c r="AC275" s="15"/>
      <c r="AD275" s="15"/>
      <c r="AE275" s="118" t="str">
        <f>IF(NOT(ISBLANK(Audit[[#This Row],[Audit Winning Candidate]])), Audit[[#This Row],[Audit Winning Candidate]]-Audit[[#This Row],[Winning Candidate]], "")</f>
        <v/>
      </c>
      <c r="AF275" s="114" t="str">
        <f>IF(NOT(ISBLANK(Audit[[#This Row],[Audit Losing Candidate]])), Audit[[#This Row],[Audit Losing Candidate]]-Audit[[#This Row],[Losing Candidate]], "")</f>
        <v/>
      </c>
      <c r="AG275" s="114" t="str">
        <f>IF(NOT(ISBLANK(Audit[[#This Row],[Audit Candidate 3]])), Audit[[#This Row],[Audit Candidate 3]]-Audit[[#This Row],[Candidate 3]], "")</f>
        <v/>
      </c>
      <c r="AH275" s="114" t="str">
        <f>IF(NOT(ISBLANK(Audit[[#This Row],[Audit Candidate 4]])),Audit[[#This Row],[Audit Candidate 4]]-Audit[[#This Row],[Candidate 4]], "")</f>
        <v/>
      </c>
      <c r="AI275" s="114" t="str">
        <f>IF(NOT(ISBLANK(Audit[[#This Row],[Audit Candidate 5]])), Audit[[#This Row],[Audit Candidate 5]]-Audit[[#This Row],[Candidate 5]], "")</f>
        <v/>
      </c>
      <c r="AJ275" s="114" t="str">
        <f>IF(NOT(ISBLANK(Audit[[#This Row],[Audit Candidate 6]])), Audit[[#This Row],[Audit Candidate 6]]-Audit[[#This Row],[Candidate 6]], "")</f>
        <v/>
      </c>
      <c r="AK275" s="114" t="str">
        <f>IF(NOT(ISBLANK(Audit[[#This Row],[Audit Candidate 7]])), Audit[[#This Row],[Audit Candidate 7]]-Audit[[#This Row],[Candidate 7]], "")</f>
        <v/>
      </c>
      <c r="AL275" s="114" t="str">
        <f>IF(NOT(ISBLANK(Audit[[#This Row],[Audit Candidate 8]])), Audit[[#This Row],[Audit Candidate 8]]-Audit[[#This Row],[Candidate 8]], "")</f>
        <v/>
      </c>
      <c r="AM275" s="114" t="str">
        <f>IF(NOT(ISBLANK(Audit[[#This Row],[Audit Candidate 9]])), Audit[[#This Row],[Audit Candidate 9]]-Audit[[#This Row],[Candidate 9]], "")</f>
        <v/>
      </c>
      <c r="AN275" s="114" t="str">
        <f>IF(NOT(ISBLANK(Audit[[#This Row],[Audit Candidate 10]])), Audit[[#This Row],[Audit Candidate 10]]-Audit[[#This Row],[Candidate 10]], "")</f>
        <v/>
      </c>
      <c r="AO275" s="114" t="str">
        <f>IF(NOT(ISBLANK(Audit[[#This Row],[Audit Candidate 11]])), Audit[[#This Row],[Audit Candidate 11]]-Audit[[#This Row],[Candidate 11]], "")</f>
        <v/>
      </c>
      <c r="AP275" s="114" t="str">
        <f>IF(NOT(ISBLANK(Audit[[#This Row],[Audit Candidate 12]])), Audit[[#This Row],[Audit Candidate 12]]-Audit[[#This Row],[Candidate 12]], "")</f>
        <v/>
      </c>
      <c r="AQ275" s="114">
        <f>SUMIF(Audit[[#This Row],[Difference Winner]:[Difference Candidate 12]], "&gt;0")</f>
        <v>0</v>
      </c>
      <c r="AR275" s="114">
        <f>SUM(Audit[[#This Row],[Difference Winner]:[Difference Candidate 12]])</f>
        <v>0</v>
      </c>
      <c r="AS275" s="114">
        <f>IF(Audit[[#This Row],[Times p Drawn - With Replacement]]&gt;0, IF(Audit[[#This Row],[Canceled Differences]]&lt;0, Audit[[#This Row],[Max Differences]]+ABS(Audit[[#This Row],[Canceled Differences]]), Audit[[#This Row],[Max Differences]]), 0)</f>
        <v>0</v>
      </c>
      <c r="AT275" s="114">
        <f>'Sampling Data'!AB275</f>
        <v>5.8150559383098417E-3</v>
      </c>
      <c r="AU275" s="114">
        <f>IF(
      SUM(Audit[[#This Row],[Audit Losing Candidate]:[Audit Candidate 12]])
      &lt;&gt;0,
      (Audit[[#This Row],[Winning Candidate]]-Audit[[#This Row],[Losing Candidate]]-(Audit[[#This Row],[Audit Winning Candidate]]-Audit[[#This Row],[Audit Losing Candidate]]))/(Audit[[#Totals],[Winning Candidate]]-Audit[[#Totals],[Losing Candidate]]),
      0
)</f>
        <v>0</v>
      </c>
      <c r="AV2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5" s="114">
        <f>IF(Audit[[#This Row],[Max Relative Error (ep)]] = 0, 0, Audit[[#This Row],[Max Relative Error (ep)]]/Audit[[#This Row],[Error Bound (up) - Max. possible relative overstatement]])</f>
        <v>0</v>
      </c>
      <c r="BH2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5" s="114">
        <f t="shared" si="5"/>
        <v>1</v>
      </c>
      <c r="BJ275" s="114">
        <f>PRODUCT($BI$5:BI275)</f>
        <v>0.20973752198051165</v>
      </c>
      <c r="BK275" s="112">
        <f>1 - Audit[[#This Row],[K-M P Value]]</f>
        <v>0.79026247801948835</v>
      </c>
      <c r="BL275" s="114" t="str">
        <f>IF(Audit[[#This Row],[K-M P Value]]&gt;1-'General Info'!$B$12,"Continue", "Stop")</f>
        <v>Continue</v>
      </c>
      <c r="BM275" s="113" t="b">
        <f>IF(Audit[[#This Row],[Status - Continue or stop audit]] = "Continue", TRUE, IF(BL274 = "Continue", TRUE, FALSE))</f>
        <v>1</v>
      </c>
      <c r="BN275" s="113"/>
    </row>
    <row r="276" spans="1:66" ht="15" hidden="1" customHeight="1" x14ac:dyDescent="0.35">
      <c r="A276" s="114" t="str">
        <f>'Sampling Data'!AI276</f>
        <v/>
      </c>
      <c r="B276" s="114" t="str">
        <f>'Sampling Data'!A276</f>
        <v>1205 CIN 12-E   (ED)</v>
      </c>
      <c r="C276" s="114">
        <f>'Sampling Data'!B276</f>
        <v>32</v>
      </c>
      <c r="D276" s="114">
        <f>'Sampling Data'!C276</f>
        <v>3</v>
      </c>
      <c r="E276" s="115">
        <f>'Sampling Data'!D276</f>
        <v>2</v>
      </c>
      <c r="F276" s="115">
        <f>'Sampling Data'!E276</f>
        <v>0</v>
      </c>
      <c r="G276" s="115">
        <f>'Sampling Data'!F276</f>
        <v>0</v>
      </c>
      <c r="H276" s="115">
        <f>'Sampling Data'!G276</f>
        <v>0</v>
      </c>
      <c r="I276" s="115">
        <f>'Sampling Data'!H276</f>
        <v>0</v>
      </c>
      <c r="J276" s="115">
        <f>'Sampling Data'!I276</f>
        <v>0</v>
      </c>
      <c r="K276" s="115">
        <f>'Sampling Data'!J276</f>
        <v>0</v>
      </c>
      <c r="L276" s="115">
        <f>'Sampling Data'!K276</f>
        <v>0</v>
      </c>
      <c r="M276" s="115">
        <f>'Sampling Data'!L276</f>
        <v>0</v>
      </c>
      <c r="N276" s="115">
        <f>'Sampling Data'!M276</f>
        <v>0</v>
      </c>
      <c r="O276" s="114">
        <f>'Sampling Data'!N276</f>
        <v>0</v>
      </c>
      <c r="P276" s="114">
        <f>'Sampling Data'!O276</f>
        <v>1</v>
      </c>
      <c r="Q276" s="114">
        <f>'Sampling Data'!P276</f>
        <v>38</v>
      </c>
      <c r="R276" s="114">
        <f>'Sampling Data'!AJ276</f>
        <v>0</v>
      </c>
      <c r="S276" s="116"/>
      <c r="T276" s="116"/>
      <c r="U276" s="117"/>
      <c r="V276" s="117"/>
      <c r="W276" s="116"/>
      <c r="X276" s="116"/>
      <c r="Y276" s="116"/>
      <c r="Z276" s="116"/>
      <c r="AA276" s="15"/>
      <c r="AB276" s="15"/>
      <c r="AC276" s="15"/>
      <c r="AD276" s="15"/>
      <c r="AE276" s="118" t="str">
        <f>IF(NOT(ISBLANK(Audit[[#This Row],[Audit Winning Candidate]])), Audit[[#This Row],[Audit Winning Candidate]]-Audit[[#This Row],[Winning Candidate]], "")</f>
        <v/>
      </c>
      <c r="AF276" s="114" t="str">
        <f>IF(NOT(ISBLANK(Audit[[#This Row],[Audit Losing Candidate]])), Audit[[#This Row],[Audit Losing Candidate]]-Audit[[#This Row],[Losing Candidate]], "")</f>
        <v/>
      </c>
      <c r="AG276" s="114" t="str">
        <f>IF(NOT(ISBLANK(Audit[[#This Row],[Audit Candidate 3]])), Audit[[#This Row],[Audit Candidate 3]]-Audit[[#This Row],[Candidate 3]], "")</f>
        <v/>
      </c>
      <c r="AH276" s="114" t="str">
        <f>IF(NOT(ISBLANK(Audit[[#This Row],[Audit Candidate 4]])),Audit[[#This Row],[Audit Candidate 4]]-Audit[[#This Row],[Candidate 4]], "")</f>
        <v/>
      </c>
      <c r="AI276" s="114" t="str">
        <f>IF(NOT(ISBLANK(Audit[[#This Row],[Audit Candidate 5]])), Audit[[#This Row],[Audit Candidate 5]]-Audit[[#This Row],[Candidate 5]], "")</f>
        <v/>
      </c>
      <c r="AJ276" s="114" t="str">
        <f>IF(NOT(ISBLANK(Audit[[#This Row],[Audit Candidate 6]])), Audit[[#This Row],[Audit Candidate 6]]-Audit[[#This Row],[Candidate 6]], "")</f>
        <v/>
      </c>
      <c r="AK276" s="114" t="str">
        <f>IF(NOT(ISBLANK(Audit[[#This Row],[Audit Candidate 7]])), Audit[[#This Row],[Audit Candidate 7]]-Audit[[#This Row],[Candidate 7]], "")</f>
        <v/>
      </c>
      <c r="AL276" s="114" t="str">
        <f>IF(NOT(ISBLANK(Audit[[#This Row],[Audit Candidate 8]])), Audit[[#This Row],[Audit Candidate 8]]-Audit[[#This Row],[Candidate 8]], "")</f>
        <v/>
      </c>
      <c r="AM276" s="114" t="str">
        <f>IF(NOT(ISBLANK(Audit[[#This Row],[Audit Candidate 9]])), Audit[[#This Row],[Audit Candidate 9]]-Audit[[#This Row],[Candidate 9]], "")</f>
        <v/>
      </c>
      <c r="AN276" s="114" t="str">
        <f>IF(NOT(ISBLANK(Audit[[#This Row],[Audit Candidate 10]])), Audit[[#This Row],[Audit Candidate 10]]-Audit[[#This Row],[Candidate 10]], "")</f>
        <v/>
      </c>
      <c r="AO276" s="114" t="str">
        <f>IF(NOT(ISBLANK(Audit[[#This Row],[Audit Candidate 11]])), Audit[[#This Row],[Audit Candidate 11]]-Audit[[#This Row],[Candidate 11]], "")</f>
        <v/>
      </c>
      <c r="AP276" s="114" t="str">
        <f>IF(NOT(ISBLANK(Audit[[#This Row],[Audit Candidate 12]])), Audit[[#This Row],[Audit Candidate 12]]-Audit[[#This Row],[Candidate 12]], "")</f>
        <v/>
      </c>
      <c r="AQ276" s="114">
        <f>SUMIF(Audit[[#This Row],[Difference Winner]:[Difference Candidate 12]], "&gt;0")</f>
        <v>0</v>
      </c>
      <c r="AR276" s="114">
        <f>SUM(Audit[[#This Row],[Difference Winner]:[Difference Candidate 12]])</f>
        <v>0</v>
      </c>
      <c r="AS276" s="114">
        <f>IF(Audit[[#This Row],[Times p Drawn - With Replacement]]&gt;0, IF(Audit[[#This Row],[Canceled Differences]]&lt;0, Audit[[#This Row],[Max Differences]]+ABS(Audit[[#This Row],[Canceled Differences]]), Audit[[#This Row],[Max Differences]]), 0)</f>
        <v>0</v>
      </c>
      <c r="AT276" s="114">
        <f>'Sampling Data'!AB276</f>
        <v>4.2348776942039059E-3</v>
      </c>
      <c r="AU276" s="114">
        <f>IF(
      SUM(Audit[[#This Row],[Audit Losing Candidate]:[Audit Candidate 12]])
      &lt;&gt;0,
      (Audit[[#This Row],[Winning Candidate]]-Audit[[#This Row],[Losing Candidate]]-(Audit[[#This Row],[Audit Winning Candidate]]-Audit[[#This Row],[Audit Losing Candidate]]))/(Audit[[#Totals],[Winning Candidate]]-Audit[[#Totals],[Losing Candidate]]),
      0
)</f>
        <v>0</v>
      </c>
      <c r="AV2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6" s="114">
        <f>IF(Audit[[#This Row],[Max Relative Error (ep)]] = 0, 0, Audit[[#This Row],[Max Relative Error (ep)]]/Audit[[#This Row],[Error Bound (up) - Max. possible relative overstatement]])</f>
        <v>0</v>
      </c>
      <c r="BH2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6" s="114">
        <f t="shared" si="5"/>
        <v>1</v>
      </c>
      <c r="BJ276" s="114">
        <f>PRODUCT($BI$5:BI276)</f>
        <v>0.20973752198051165</v>
      </c>
      <c r="BK276" s="112">
        <f>1 - Audit[[#This Row],[K-M P Value]]</f>
        <v>0.79026247801948835</v>
      </c>
      <c r="BL276" s="114" t="str">
        <f>IF(Audit[[#This Row],[K-M P Value]]&gt;1-'General Info'!$B$12,"Continue", "Stop")</f>
        <v>Continue</v>
      </c>
      <c r="BM276" s="113" t="b">
        <f>IF(Audit[[#This Row],[Status - Continue or stop audit]] = "Continue", TRUE, IF(BL275 = "Continue", TRUE, FALSE))</f>
        <v>1</v>
      </c>
      <c r="BN276" s="113"/>
    </row>
    <row r="277" spans="1:66" ht="15" hidden="1" customHeight="1" x14ac:dyDescent="0.35">
      <c r="A277" s="114" t="str">
        <f>'Sampling Data'!AI277</f>
        <v/>
      </c>
      <c r="B277" s="114" t="str">
        <f>'Sampling Data'!A277</f>
        <v>1301 CIN 13-A   (ED)</v>
      </c>
      <c r="C277" s="114">
        <f>'Sampling Data'!B277</f>
        <v>31</v>
      </c>
      <c r="D277" s="114">
        <f>'Sampling Data'!C277</f>
        <v>0</v>
      </c>
      <c r="E277" s="115">
        <f>'Sampling Data'!D277</f>
        <v>0</v>
      </c>
      <c r="F277" s="115">
        <f>'Sampling Data'!E277</f>
        <v>0</v>
      </c>
      <c r="G277" s="115">
        <f>'Sampling Data'!F277</f>
        <v>0</v>
      </c>
      <c r="H277" s="115">
        <f>'Sampling Data'!G277</f>
        <v>0</v>
      </c>
      <c r="I277" s="115">
        <f>'Sampling Data'!H277</f>
        <v>0</v>
      </c>
      <c r="J277" s="115">
        <f>'Sampling Data'!I277</f>
        <v>0</v>
      </c>
      <c r="K277" s="115">
        <f>'Sampling Data'!J277</f>
        <v>0</v>
      </c>
      <c r="L277" s="115">
        <f>'Sampling Data'!K277</f>
        <v>0</v>
      </c>
      <c r="M277" s="115">
        <f>'Sampling Data'!L277</f>
        <v>0</v>
      </c>
      <c r="N277" s="115">
        <f>'Sampling Data'!M277</f>
        <v>0</v>
      </c>
      <c r="O277" s="114">
        <f>'Sampling Data'!N277</f>
        <v>0</v>
      </c>
      <c r="P277" s="114">
        <f>'Sampling Data'!O277</f>
        <v>0</v>
      </c>
      <c r="Q277" s="114">
        <f>'Sampling Data'!P277</f>
        <v>31</v>
      </c>
      <c r="R277" s="114">
        <f>'Sampling Data'!AJ277</f>
        <v>0</v>
      </c>
      <c r="S277" s="116"/>
      <c r="T277" s="116"/>
      <c r="U277" s="117"/>
      <c r="V277" s="117"/>
      <c r="W277" s="116"/>
      <c r="X277" s="116"/>
      <c r="Y277" s="116"/>
      <c r="Z277" s="116"/>
      <c r="AA277" s="15"/>
      <c r="AB277" s="15"/>
      <c r="AC277" s="15"/>
      <c r="AD277" s="15"/>
      <c r="AE277" s="118" t="str">
        <f>IF(NOT(ISBLANK(Audit[[#This Row],[Audit Winning Candidate]])), Audit[[#This Row],[Audit Winning Candidate]]-Audit[[#This Row],[Winning Candidate]], "")</f>
        <v/>
      </c>
      <c r="AF277" s="114" t="str">
        <f>IF(NOT(ISBLANK(Audit[[#This Row],[Audit Losing Candidate]])), Audit[[#This Row],[Audit Losing Candidate]]-Audit[[#This Row],[Losing Candidate]], "")</f>
        <v/>
      </c>
      <c r="AG277" s="114" t="str">
        <f>IF(NOT(ISBLANK(Audit[[#This Row],[Audit Candidate 3]])), Audit[[#This Row],[Audit Candidate 3]]-Audit[[#This Row],[Candidate 3]], "")</f>
        <v/>
      </c>
      <c r="AH277" s="114" t="str">
        <f>IF(NOT(ISBLANK(Audit[[#This Row],[Audit Candidate 4]])),Audit[[#This Row],[Audit Candidate 4]]-Audit[[#This Row],[Candidate 4]], "")</f>
        <v/>
      </c>
      <c r="AI277" s="114" t="str">
        <f>IF(NOT(ISBLANK(Audit[[#This Row],[Audit Candidate 5]])), Audit[[#This Row],[Audit Candidate 5]]-Audit[[#This Row],[Candidate 5]], "")</f>
        <v/>
      </c>
      <c r="AJ277" s="114" t="str">
        <f>IF(NOT(ISBLANK(Audit[[#This Row],[Audit Candidate 6]])), Audit[[#This Row],[Audit Candidate 6]]-Audit[[#This Row],[Candidate 6]], "")</f>
        <v/>
      </c>
      <c r="AK277" s="114" t="str">
        <f>IF(NOT(ISBLANK(Audit[[#This Row],[Audit Candidate 7]])), Audit[[#This Row],[Audit Candidate 7]]-Audit[[#This Row],[Candidate 7]], "")</f>
        <v/>
      </c>
      <c r="AL277" s="114" t="str">
        <f>IF(NOT(ISBLANK(Audit[[#This Row],[Audit Candidate 8]])), Audit[[#This Row],[Audit Candidate 8]]-Audit[[#This Row],[Candidate 8]], "")</f>
        <v/>
      </c>
      <c r="AM277" s="114" t="str">
        <f>IF(NOT(ISBLANK(Audit[[#This Row],[Audit Candidate 9]])), Audit[[#This Row],[Audit Candidate 9]]-Audit[[#This Row],[Candidate 9]], "")</f>
        <v/>
      </c>
      <c r="AN277" s="114" t="str">
        <f>IF(NOT(ISBLANK(Audit[[#This Row],[Audit Candidate 10]])), Audit[[#This Row],[Audit Candidate 10]]-Audit[[#This Row],[Candidate 10]], "")</f>
        <v/>
      </c>
      <c r="AO277" s="114" t="str">
        <f>IF(NOT(ISBLANK(Audit[[#This Row],[Audit Candidate 11]])), Audit[[#This Row],[Audit Candidate 11]]-Audit[[#This Row],[Candidate 11]], "")</f>
        <v/>
      </c>
      <c r="AP277" s="114" t="str">
        <f>IF(NOT(ISBLANK(Audit[[#This Row],[Audit Candidate 12]])), Audit[[#This Row],[Audit Candidate 12]]-Audit[[#This Row],[Candidate 12]], "")</f>
        <v/>
      </c>
      <c r="AQ277" s="114">
        <f>SUMIF(Audit[[#This Row],[Difference Winner]:[Difference Candidate 12]], "&gt;0")</f>
        <v>0</v>
      </c>
      <c r="AR277" s="114">
        <f>SUM(Audit[[#This Row],[Difference Winner]:[Difference Candidate 12]])</f>
        <v>0</v>
      </c>
      <c r="AS277" s="114">
        <f>IF(Audit[[#This Row],[Times p Drawn - With Replacement]]&gt;0, IF(Audit[[#This Row],[Canceled Differences]]&lt;0, Audit[[#This Row],[Max Differences]]+ABS(Audit[[#This Row],[Canceled Differences]]), Audit[[#This Row],[Max Differences]]), 0)</f>
        <v>0</v>
      </c>
      <c r="AT277" s="114">
        <f>'Sampling Data'!AB277</f>
        <v>3.9188420453827189E-3</v>
      </c>
      <c r="AU277" s="114">
        <f>IF(
      SUM(Audit[[#This Row],[Audit Losing Candidate]:[Audit Candidate 12]])
      &lt;&gt;0,
      (Audit[[#This Row],[Winning Candidate]]-Audit[[#This Row],[Losing Candidate]]-(Audit[[#This Row],[Audit Winning Candidate]]-Audit[[#This Row],[Audit Losing Candidate]]))/(Audit[[#Totals],[Winning Candidate]]-Audit[[#Totals],[Losing Candidate]]),
      0
)</f>
        <v>0</v>
      </c>
      <c r="AV2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7" s="114">
        <f>IF(Audit[[#This Row],[Max Relative Error (ep)]] = 0, 0, Audit[[#This Row],[Max Relative Error (ep)]]/Audit[[#This Row],[Error Bound (up) - Max. possible relative overstatement]])</f>
        <v>0</v>
      </c>
      <c r="BH2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7" s="114">
        <f t="shared" si="5"/>
        <v>1</v>
      </c>
      <c r="BJ277" s="114">
        <f>PRODUCT($BI$5:BI277)</f>
        <v>0.20973752198051165</v>
      </c>
      <c r="BK277" s="112">
        <f>1 - Audit[[#This Row],[K-M P Value]]</f>
        <v>0.79026247801948835</v>
      </c>
      <c r="BL277" s="114" t="str">
        <f>IF(Audit[[#This Row],[K-M P Value]]&gt;1-'General Info'!$B$12,"Continue", "Stop")</f>
        <v>Continue</v>
      </c>
      <c r="BM277" s="113" t="b">
        <f>IF(Audit[[#This Row],[Status - Continue or stop audit]] = "Continue", TRUE, IF(BL276 = "Continue", TRUE, FALSE))</f>
        <v>1</v>
      </c>
      <c r="BN277" s="113"/>
    </row>
    <row r="278" spans="1:66" ht="15" hidden="1" customHeight="1" x14ac:dyDescent="0.35">
      <c r="A278" s="114" t="str">
        <f>'Sampling Data'!AI278</f>
        <v/>
      </c>
      <c r="B278" s="114" t="str">
        <f>'Sampling Data'!A278</f>
        <v>1302 CIN 13-B   (ED)</v>
      </c>
      <c r="C278" s="114">
        <f>'Sampling Data'!B278</f>
        <v>83</v>
      </c>
      <c r="D278" s="114">
        <f>'Sampling Data'!C278</f>
        <v>5</v>
      </c>
      <c r="E278" s="115">
        <f>'Sampling Data'!D278</f>
        <v>6</v>
      </c>
      <c r="F278" s="115">
        <f>'Sampling Data'!E278</f>
        <v>0</v>
      </c>
      <c r="G278" s="115">
        <f>'Sampling Data'!F278</f>
        <v>0</v>
      </c>
      <c r="H278" s="115">
        <f>'Sampling Data'!G278</f>
        <v>0</v>
      </c>
      <c r="I278" s="115">
        <f>'Sampling Data'!H278</f>
        <v>0</v>
      </c>
      <c r="J278" s="115">
        <f>'Sampling Data'!I278</f>
        <v>0</v>
      </c>
      <c r="K278" s="115">
        <f>'Sampling Data'!J278</f>
        <v>0</v>
      </c>
      <c r="L278" s="115">
        <f>'Sampling Data'!K278</f>
        <v>0</v>
      </c>
      <c r="M278" s="115">
        <f>'Sampling Data'!L278</f>
        <v>0</v>
      </c>
      <c r="N278" s="115">
        <f>'Sampling Data'!M278</f>
        <v>0</v>
      </c>
      <c r="O278" s="114">
        <f>'Sampling Data'!N278</f>
        <v>0</v>
      </c>
      <c r="P278" s="114">
        <f>'Sampling Data'!O278</f>
        <v>2</v>
      </c>
      <c r="Q278" s="114">
        <f>'Sampling Data'!P278</f>
        <v>96</v>
      </c>
      <c r="R278" s="114">
        <f>'Sampling Data'!AJ278</f>
        <v>0</v>
      </c>
      <c r="S278" s="116"/>
      <c r="T278" s="116"/>
      <c r="U278" s="117"/>
      <c r="V278" s="117"/>
      <c r="W278" s="116"/>
      <c r="X278" s="116"/>
      <c r="Y278" s="116"/>
      <c r="Z278" s="116"/>
      <c r="AA278" s="15"/>
      <c r="AB278" s="15"/>
      <c r="AC278" s="15"/>
      <c r="AD278" s="15"/>
      <c r="AE278" s="118" t="str">
        <f>IF(NOT(ISBLANK(Audit[[#This Row],[Audit Winning Candidate]])), Audit[[#This Row],[Audit Winning Candidate]]-Audit[[#This Row],[Winning Candidate]], "")</f>
        <v/>
      </c>
      <c r="AF278" s="114" t="str">
        <f>IF(NOT(ISBLANK(Audit[[#This Row],[Audit Losing Candidate]])), Audit[[#This Row],[Audit Losing Candidate]]-Audit[[#This Row],[Losing Candidate]], "")</f>
        <v/>
      </c>
      <c r="AG278" s="114" t="str">
        <f>IF(NOT(ISBLANK(Audit[[#This Row],[Audit Candidate 3]])), Audit[[#This Row],[Audit Candidate 3]]-Audit[[#This Row],[Candidate 3]], "")</f>
        <v/>
      </c>
      <c r="AH278" s="114" t="str">
        <f>IF(NOT(ISBLANK(Audit[[#This Row],[Audit Candidate 4]])),Audit[[#This Row],[Audit Candidate 4]]-Audit[[#This Row],[Candidate 4]], "")</f>
        <v/>
      </c>
      <c r="AI278" s="114" t="str">
        <f>IF(NOT(ISBLANK(Audit[[#This Row],[Audit Candidate 5]])), Audit[[#This Row],[Audit Candidate 5]]-Audit[[#This Row],[Candidate 5]], "")</f>
        <v/>
      </c>
      <c r="AJ278" s="114" t="str">
        <f>IF(NOT(ISBLANK(Audit[[#This Row],[Audit Candidate 6]])), Audit[[#This Row],[Audit Candidate 6]]-Audit[[#This Row],[Candidate 6]], "")</f>
        <v/>
      </c>
      <c r="AK278" s="114" t="str">
        <f>IF(NOT(ISBLANK(Audit[[#This Row],[Audit Candidate 7]])), Audit[[#This Row],[Audit Candidate 7]]-Audit[[#This Row],[Candidate 7]], "")</f>
        <v/>
      </c>
      <c r="AL278" s="114" t="str">
        <f>IF(NOT(ISBLANK(Audit[[#This Row],[Audit Candidate 8]])), Audit[[#This Row],[Audit Candidate 8]]-Audit[[#This Row],[Candidate 8]], "")</f>
        <v/>
      </c>
      <c r="AM278" s="114" t="str">
        <f>IF(NOT(ISBLANK(Audit[[#This Row],[Audit Candidate 9]])), Audit[[#This Row],[Audit Candidate 9]]-Audit[[#This Row],[Candidate 9]], "")</f>
        <v/>
      </c>
      <c r="AN278" s="114" t="str">
        <f>IF(NOT(ISBLANK(Audit[[#This Row],[Audit Candidate 10]])), Audit[[#This Row],[Audit Candidate 10]]-Audit[[#This Row],[Candidate 10]], "")</f>
        <v/>
      </c>
      <c r="AO278" s="114" t="str">
        <f>IF(NOT(ISBLANK(Audit[[#This Row],[Audit Candidate 11]])), Audit[[#This Row],[Audit Candidate 11]]-Audit[[#This Row],[Candidate 11]], "")</f>
        <v/>
      </c>
      <c r="AP278" s="114" t="str">
        <f>IF(NOT(ISBLANK(Audit[[#This Row],[Audit Candidate 12]])), Audit[[#This Row],[Audit Candidate 12]]-Audit[[#This Row],[Candidate 12]], "")</f>
        <v/>
      </c>
      <c r="AQ278" s="114">
        <f>SUMIF(Audit[[#This Row],[Difference Winner]:[Difference Candidate 12]], "&gt;0")</f>
        <v>0</v>
      </c>
      <c r="AR278" s="114">
        <f>SUM(Audit[[#This Row],[Difference Winner]:[Difference Candidate 12]])</f>
        <v>0</v>
      </c>
      <c r="AS278" s="114">
        <f>IF(Audit[[#This Row],[Times p Drawn - With Replacement]]&gt;0, IF(Audit[[#This Row],[Canceled Differences]]&lt;0, Audit[[#This Row],[Max Differences]]+ABS(Audit[[#This Row],[Canceled Differences]]), Audit[[#This Row],[Max Differences]]), 0)</f>
        <v>0</v>
      </c>
      <c r="AT278" s="114">
        <f>'Sampling Data'!AB278</f>
        <v>1.0998040578977309E-2</v>
      </c>
      <c r="AU278" s="114">
        <f>IF(
      SUM(Audit[[#This Row],[Audit Losing Candidate]:[Audit Candidate 12]])
      &lt;&gt;0,
      (Audit[[#This Row],[Winning Candidate]]-Audit[[#This Row],[Losing Candidate]]-(Audit[[#This Row],[Audit Winning Candidate]]-Audit[[#This Row],[Audit Losing Candidate]]))/(Audit[[#Totals],[Winning Candidate]]-Audit[[#Totals],[Losing Candidate]]),
      0
)</f>
        <v>0</v>
      </c>
      <c r="AV2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8" s="114">
        <f>IF(Audit[[#This Row],[Max Relative Error (ep)]] = 0, 0, Audit[[#This Row],[Max Relative Error (ep)]]/Audit[[#This Row],[Error Bound (up) - Max. possible relative overstatement]])</f>
        <v>0</v>
      </c>
      <c r="BH2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8" s="114">
        <f t="shared" si="5"/>
        <v>1</v>
      </c>
      <c r="BJ278" s="114">
        <f>PRODUCT($BI$5:BI278)</f>
        <v>0.20973752198051165</v>
      </c>
      <c r="BK278" s="112">
        <f>1 - Audit[[#This Row],[K-M P Value]]</f>
        <v>0.79026247801948835</v>
      </c>
      <c r="BL278" s="114" t="str">
        <f>IF(Audit[[#This Row],[K-M P Value]]&gt;1-'General Info'!$B$12,"Continue", "Stop")</f>
        <v>Continue</v>
      </c>
      <c r="BM278" s="113" t="b">
        <f>IF(Audit[[#This Row],[Status - Continue or stop audit]] = "Continue", TRUE, IF(BL277 = "Continue", TRUE, FALSE))</f>
        <v>1</v>
      </c>
      <c r="BN278" s="113"/>
    </row>
    <row r="279" spans="1:66" ht="15" hidden="1" customHeight="1" x14ac:dyDescent="0.35">
      <c r="A279" s="114" t="str">
        <f>'Sampling Data'!AI279</f>
        <v/>
      </c>
      <c r="B279" s="114" t="str">
        <f>'Sampling Data'!A279</f>
        <v>1303 CIN 13-C   (ED)</v>
      </c>
      <c r="C279" s="114">
        <f>'Sampling Data'!B279</f>
        <v>45</v>
      </c>
      <c r="D279" s="114">
        <f>'Sampling Data'!C279</f>
        <v>0</v>
      </c>
      <c r="E279" s="115">
        <f>'Sampling Data'!D279</f>
        <v>0</v>
      </c>
      <c r="F279" s="115">
        <f>'Sampling Data'!E279</f>
        <v>0</v>
      </c>
      <c r="G279" s="115">
        <f>'Sampling Data'!F279</f>
        <v>0</v>
      </c>
      <c r="H279" s="115">
        <f>'Sampling Data'!G279</f>
        <v>0</v>
      </c>
      <c r="I279" s="115">
        <f>'Sampling Data'!H279</f>
        <v>0</v>
      </c>
      <c r="J279" s="115">
        <f>'Sampling Data'!I279</f>
        <v>0</v>
      </c>
      <c r="K279" s="115">
        <f>'Sampling Data'!J279</f>
        <v>0</v>
      </c>
      <c r="L279" s="115">
        <f>'Sampling Data'!K279</f>
        <v>0</v>
      </c>
      <c r="M279" s="115">
        <f>'Sampling Data'!L279</f>
        <v>0</v>
      </c>
      <c r="N279" s="115">
        <f>'Sampling Data'!M279</f>
        <v>0</v>
      </c>
      <c r="O279" s="114">
        <f>'Sampling Data'!N279</f>
        <v>0</v>
      </c>
      <c r="P279" s="114">
        <f>'Sampling Data'!O279</f>
        <v>0</v>
      </c>
      <c r="Q279" s="114">
        <f>'Sampling Data'!P279</f>
        <v>45</v>
      </c>
      <c r="R279" s="114">
        <f>'Sampling Data'!AJ279</f>
        <v>0</v>
      </c>
      <c r="S279" s="116"/>
      <c r="T279" s="116"/>
      <c r="U279" s="117"/>
      <c r="V279" s="117"/>
      <c r="W279" s="116"/>
      <c r="X279" s="116"/>
      <c r="Y279" s="116"/>
      <c r="Z279" s="116"/>
      <c r="AA279" s="15"/>
      <c r="AB279" s="15"/>
      <c r="AC279" s="15"/>
      <c r="AD279" s="15"/>
      <c r="AE279" s="118" t="str">
        <f>IF(NOT(ISBLANK(Audit[[#This Row],[Audit Winning Candidate]])), Audit[[#This Row],[Audit Winning Candidate]]-Audit[[#This Row],[Winning Candidate]], "")</f>
        <v/>
      </c>
      <c r="AF279" s="114" t="str">
        <f>IF(NOT(ISBLANK(Audit[[#This Row],[Audit Losing Candidate]])), Audit[[#This Row],[Audit Losing Candidate]]-Audit[[#This Row],[Losing Candidate]], "")</f>
        <v/>
      </c>
      <c r="AG279" s="114" t="str">
        <f>IF(NOT(ISBLANK(Audit[[#This Row],[Audit Candidate 3]])), Audit[[#This Row],[Audit Candidate 3]]-Audit[[#This Row],[Candidate 3]], "")</f>
        <v/>
      </c>
      <c r="AH279" s="114" t="str">
        <f>IF(NOT(ISBLANK(Audit[[#This Row],[Audit Candidate 4]])),Audit[[#This Row],[Audit Candidate 4]]-Audit[[#This Row],[Candidate 4]], "")</f>
        <v/>
      </c>
      <c r="AI279" s="114" t="str">
        <f>IF(NOT(ISBLANK(Audit[[#This Row],[Audit Candidate 5]])), Audit[[#This Row],[Audit Candidate 5]]-Audit[[#This Row],[Candidate 5]], "")</f>
        <v/>
      </c>
      <c r="AJ279" s="114" t="str">
        <f>IF(NOT(ISBLANK(Audit[[#This Row],[Audit Candidate 6]])), Audit[[#This Row],[Audit Candidate 6]]-Audit[[#This Row],[Candidate 6]], "")</f>
        <v/>
      </c>
      <c r="AK279" s="114" t="str">
        <f>IF(NOT(ISBLANK(Audit[[#This Row],[Audit Candidate 7]])), Audit[[#This Row],[Audit Candidate 7]]-Audit[[#This Row],[Candidate 7]], "")</f>
        <v/>
      </c>
      <c r="AL279" s="114" t="str">
        <f>IF(NOT(ISBLANK(Audit[[#This Row],[Audit Candidate 8]])), Audit[[#This Row],[Audit Candidate 8]]-Audit[[#This Row],[Candidate 8]], "")</f>
        <v/>
      </c>
      <c r="AM279" s="114" t="str">
        <f>IF(NOT(ISBLANK(Audit[[#This Row],[Audit Candidate 9]])), Audit[[#This Row],[Audit Candidate 9]]-Audit[[#This Row],[Candidate 9]], "")</f>
        <v/>
      </c>
      <c r="AN279" s="114" t="str">
        <f>IF(NOT(ISBLANK(Audit[[#This Row],[Audit Candidate 10]])), Audit[[#This Row],[Audit Candidate 10]]-Audit[[#This Row],[Candidate 10]], "")</f>
        <v/>
      </c>
      <c r="AO279" s="114" t="str">
        <f>IF(NOT(ISBLANK(Audit[[#This Row],[Audit Candidate 11]])), Audit[[#This Row],[Audit Candidate 11]]-Audit[[#This Row],[Candidate 11]], "")</f>
        <v/>
      </c>
      <c r="AP279" s="114" t="str">
        <f>IF(NOT(ISBLANK(Audit[[#This Row],[Audit Candidate 12]])), Audit[[#This Row],[Audit Candidate 12]]-Audit[[#This Row],[Candidate 12]], "")</f>
        <v/>
      </c>
      <c r="AQ279" s="114">
        <f>SUMIF(Audit[[#This Row],[Difference Winner]:[Difference Candidate 12]], "&gt;0")</f>
        <v>0</v>
      </c>
      <c r="AR279" s="114">
        <f>SUM(Audit[[#This Row],[Difference Winner]:[Difference Candidate 12]])</f>
        <v>0</v>
      </c>
      <c r="AS279" s="114">
        <f>IF(Audit[[#This Row],[Times p Drawn - With Replacement]]&gt;0, IF(Audit[[#This Row],[Canceled Differences]]&lt;0, Audit[[#This Row],[Max Differences]]+ABS(Audit[[#This Row],[Canceled Differences]]), Audit[[#This Row],[Max Differences]]), 0)</f>
        <v>0</v>
      </c>
      <c r="AT279" s="114">
        <f>'Sampling Data'!AB279</f>
        <v>5.6886416787813665E-3</v>
      </c>
      <c r="AU279" s="114">
        <f>IF(
      SUM(Audit[[#This Row],[Audit Losing Candidate]:[Audit Candidate 12]])
      &lt;&gt;0,
      (Audit[[#This Row],[Winning Candidate]]-Audit[[#This Row],[Losing Candidate]]-(Audit[[#This Row],[Audit Winning Candidate]]-Audit[[#This Row],[Audit Losing Candidate]]))/(Audit[[#Totals],[Winning Candidate]]-Audit[[#Totals],[Losing Candidate]]),
      0
)</f>
        <v>0</v>
      </c>
      <c r="AV2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9" s="114">
        <f>IF(Audit[[#This Row],[Max Relative Error (ep)]] = 0, 0, Audit[[#This Row],[Max Relative Error (ep)]]/Audit[[#This Row],[Error Bound (up) - Max. possible relative overstatement]])</f>
        <v>0</v>
      </c>
      <c r="BH2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79" s="114">
        <f t="shared" si="5"/>
        <v>1</v>
      </c>
      <c r="BJ279" s="114">
        <f>PRODUCT($BI$5:BI279)</f>
        <v>0.20973752198051165</v>
      </c>
      <c r="BK279" s="112">
        <f>1 - Audit[[#This Row],[K-M P Value]]</f>
        <v>0.79026247801948835</v>
      </c>
      <c r="BL279" s="114" t="str">
        <f>IF(Audit[[#This Row],[K-M P Value]]&gt;1-'General Info'!$B$12,"Continue", "Stop")</f>
        <v>Continue</v>
      </c>
      <c r="BM279" s="113" t="b">
        <f>IF(Audit[[#This Row],[Status - Continue or stop audit]] = "Continue", TRUE, IF(BL278 = "Continue", TRUE, FALSE))</f>
        <v>1</v>
      </c>
      <c r="BN279" s="113"/>
    </row>
    <row r="280" spans="1:66" ht="15" hidden="1" customHeight="1" x14ac:dyDescent="0.35">
      <c r="A280" s="114" t="str">
        <f>'Sampling Data'!AI280</f>
        <v/>
      </c>
      <c r="B280" s="114" t="str">
        <f>'Sampling Data'!A280</f>
        <v>1304 CIN 13-D   (ED)</v>
      </c>
      <c r="C280" s="114">
        <f>'Sampling Data'!B280</f>
        <v>75</v>
      </c>
      <c r="D280" s="114">
        <f>'Sampling Data'!C280</f>
        <v>3</v>
      </c>
      <c r="E280" s="115">
        <f>'Sampling Data'!D280</f>
        <v>1</v>
      </c>
      <c r="F280" s="115">
        <f>'Sampling Data'!E280</f>
        <v>0</v>
      </c>
      <c r="G280" s="115">
        <f>'Sampling Data'!F280</f>
        <v>0</v>
      </c>
      <c r="H280" s="115">
        <f>'Sampling Data'!G280</f>
        <v>0</v>
      </c>
      <c r="I280" s="115">
        <f>'Sampling Data'!H280</f>
        <v>0</v>
      </c>
      <c r="J280" s="115">
        <f>'Sampling Data'!I280</f>
        <v>0</v>
      </c>
      <c r="K280" s="115">
        <f>'Sampling Data'!J280</f>
        <v>0</v>
      </c>
      <c r="L280" s="115">
        <f>'Sampling Data'!K280</f>
        <v>0</v>
      </c>
      <c r="M280" s="115">
        <f>'Sampling Data'!L280</f>
        <v>0</v>
      </c>
      <c r="N280" s="115">
        <f>'Sampling Data'!M280</f>
        <v>0</v>
      </c>
      <c r="O280" s="114">
        <f>'Sampling Data'!N280</f>
        <v>0</v>
      </c>
      <c r="P280" s="114">
        <f>'Sampling Data'!O280</f>
        <v>0</v>
      </c>
      <c r="Q280" s="114">
        <f>'Sampling Data'!P280</f>
        <v>79</v>
      </c>
      <c r="R280" s="114">
        <f>'Sampling Data'!AJ280</f>
        <v>0</v>
      </c>
      <c r="S280" s="116"/>
      <c r="T280" s="116"/>
      <c r="U280" s="117"/>
      <c r="V280" s="117"/>
      <c r="W280" s="116"/>
      <c r="X280" s="116"/>
      <c r="Y280" s="116"/>
      <c r="Z280" s="116"/>
      <c r="AA280" s="15"/>
      <c r="AB280" s="15"/>
      <c r="AC280" s="15"/>
      <c r="AD280" s="15"/>
      <c r="AE280" s="118" t="str">
        <f>IF(NOT(ISBLANK(Audit[[#This Row],[Audit Winning Candidate]])), Audit[[#This Row],[Audit Winning Candidate]]-Audit[[#This Row],[Winning Candidate]], "")</f>
        <v/>
      </c>
      <c r="AF280" s="114" t="str">
        <f>IF(NOT(ISBLANK(Audit[[#This Row],[Audit Losing Candidate]])), Audit[[#This Row],[Audit Losing Candidate]]-Audit[[#This Row],[Losing Candidate]], "")</f>
        <v/>
      </c>
      <c r="AG280" s="114" t="str">
        <f>IF(NOT(ISBLANK(Audit[[#This Row],[Audit Candidate 3]])), Audit[[#This Row],[Audit Candidate 3]]-Audit[[#This Row],[Candidate 3]], "")</f>
        <v/>
      </c>
      <c r="AH280" s="114" t="str">
        <f>IF(NOT(ISBLANK(Audit[[#This Row],[Audit Candidate 4]])),Audit[[#This Row],[Audit Candidate 4]]-Audit[[#This Row],[Candidate 4]], "")</f>
        <v/>
      </c>
      <c r="AI280" s="114" t="str">
        <f>IF(NOT(ISBLANK(Audit[[#This Row],[Audit Candidate 5]])), Audit[[#This Row],[Audit Candidate 5]]-Audit[[#This Row],[Candidate 5]], "")</f>
        <v/>
      </c>
      <c r="AJ280" s="114" t="str">
        <f>IF(NOT(ISBLANK(Audit[[#This Row],[Audit Candidate 6]])), Audit[[#This Row],[Audit Candidate 6]]-Audit[[#This Row],[Candidate 6]], "")</f>
        <v/>
      </c>
      <c r="AK280" s="114" t="str">
        <f>IF(NOT(ISBLANK(Audit[[#This Row],[Audit Candidate 7]])), Audit[[#This Row],[Audit Candidate 7]]-Audit[[#This Row],[Candidate 7]], "")</f>
        <v/>
      </c>
      <c r="AL280" s="114" t="str">
        <f>IF(NOT(ISBLANK(Audit[[#This Row],[Audit Candidate 8]])), Audit[[#This Row],[Audit Candidate 8]]-Audit[[#This Row],[Candidate 8]], "")</f>
        <v/>
      </c>
      <c r="AM280" s="114" t="str">
        <f>IF(NOT(ISBLANK(Audit[[#This Row],[Audit Candidate 9]])), Audit[[#This Row],[Audit Candidate 9]]-Audit[[#This Row],[Candidate 9]], "")</f>
        <v/>
      </c>
      <c r="AN280" s="114" t="str">
        <f>IF(NOT(ISBLANK(Audit[[#This Row],[Audit Candidate 10]])), Audit[[#This Row],[Audit Candidate 10]]-Audit[[#This Row],[Candidate 10]], "")</f>
        <v/>
      </c>
      <c r="AO280" s="114" t="str">
        <f>IF(NOT(ISBLANK(Audit[[#This Row],[Audit Candidate 11]])), Audit[[#This Row],[Audit Candidate 11]]-Audit[[#This Row],[Candidate 11]], "")</f>
        <v/>
      </c>
      <c r="AP280" s="114" t="str">
        <f>IF(NOT(ISBLANK(Audit[[#This Row],[Audit Candidate 12]])), Audit[[#This Row],[Audit Candidate 12]]-Audit[[#This Row],[Candidate 12]], "")</f>
        <v/>
      </c>
      <c r="AQ280" s="114">
        <f>SUMIF(Audit[[#This Row],[Difference Winner]:[Difference Candidate 12]], "&gt;0")</f>
        <v>0</v>
      </c>
      <c r="AR280" s="114">
        <f>SUM(Audit[[#This Row],[Difference Winner]:[Difference Candidate 12]])</f>
        <v>0</v>
      </c>
      <c r="AS280" s="114">
        <f>IF(Audit[[#This Row],[Times p Drawn - With Replacement]]&gt;0, IF(Audit[[#This Row],[Canceled Differences]]&lt;0, Audit[[#This Row],[Max Differences]]+ABS(Audit[[#This Row],[Canceled Differences]]), Audit[[#This Row],[Max Differences]]), 0)</f>
        <v>0</v>
      </c>
      <c r="AT280" s="114">
        <f>'Sampling Data'!AB280</f>
        <v>9.5442765943998479E-3</v>
      </c>
      <c r="AU280" s="114">
        <f>IF(
      SUM(Audit[[#This Row],[Audit Losing Candidate]:[Audit Candidate 12]])
      &lt;&gt;0,
      (Audit[[#This Row],[Winning Candidate]]-Audit[[#This Row],[Losing Candidate]]-(Audit[[#This Row],[Audit Winning Candidate]]-Audit[[#This Row],[Audit Losing Candidate]]))/(Audit[[#Totals],[Winning Candidate]]-Audit[[#Totals],[Losing Candidate]]),
      0
)</f>
        <v>0</v>
      </c>
      <c r="AV2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0" s="114">
        <f>IF(Audit[[#This Row],[Max Relative Error (ep)]] = 0, 0, Audit[[#This Row],[Max Relative Error (ep)]]/Audit[[#This Row],[Error Bound (up) - Max. possible relative overstatement]])</f>
        <v>0</v>
      </c>
      <c r="BH2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0" s="114">
        <f t="shared" si="5"/>
        <v>1</v>
      </c>
      <c r="BJ280" s="114">
        <f>PRODUCT($BI$5:BI280)</f>
        <v>0.20973752198051165</v>
      </c>
      <c r="BK280" s="112">
        <f>1 - Audit[[#This Row],[K-M P Value]]</f>
        <v>0.79026247801948835</v>
      </c>
      <c r="BL280" s="114" t="str">
        <f>IF(Audit[[#This Row],[K-M P Value]]&gt;1-'General Info'!$B$12,"Continue", "Stop")</f>
        <v>Continue</v>
      </c>
      <c r="BM280" s="113" t="b">
        <f>IF(Audit[[#This Row],[Status - Continue or stop audit]] = "Continue", TRUE, IF(BL279 = "Continue", TRUE, FALSE))</f>
        <v>1</v>
      </c>
      <c r="BN280" s="113"/>
    </row>
    <row r="281" spans="1:66" ht="15" hidden="1" customHeight="1" x14ac:dyDescent="0.35">
      <c r="A281" s="114" t="str">
        <f>'Sampling Data'!AI281</f>
        <v/>
      </c>
      <c r="B281" s="114" t="str">
        <f>'Sampling Data'!A281</f>
        <v>1305 CIN 13-E   (ED)</v>
      </c>
      <c r="C281" s="114">
        <f>'Sampling Data'!B281</f>
        <v>152</v>
      </c>
      <c r="D281" s="114">
        <f>'Sampling Data'!C281</f>
        <v>9</v>
      </c>
      <c r="E281" s="115">
        <f>'Sampling Data'!D281</f>
        <v>7</v>
      </c>
      <c r="F281" s="115">
        <f>'Sampling Data'!E281</f>
        <v>0</v>
      </c>
      <c r="G281" s="115">
        <f>'Sampling Data'!F281</f>
        <v>0</v>
      </c>
      <c r="H281" s="115">
        <f>'Sampling Data'!G281</f>
        <v>0</v>
      </c>
      <c r="I281" s="115">
        <f>'Sampling Data'!H281</f>
        <v>0</v>
      </c>
      <c r="J281" s="115">
        <f>'Sampling Data'!I281</f>
        <v>0</v>
      </c>
      <c r="K281" s="115">
        <f>'Sampling Data'!J281</f>
        <v>0</v>
      </c>
      <c r="L281" s="115">
        <f>'Sampling Data'!K281</f>
        <v>0</v>
      </c>
      <c r="M281" s="115">
        <f>'Sampling Data'!L281</f>
        <v>0</v>
      </c>
      <c r="N281" s="115">
        <f>'Sampling Data'!M281</f>
        <v>0</v>
      </c>
      <c r="O281" s="114">
        <f>'Sampling Data'!N281</f>
        <v>0</v>
      </c>
      <c r="P281" s="114">
        <f>'Sampling Data'!O281</f>
        <v>3</v>
      </c>
      <c r="Q281" s="114">
        <f>'Sampling Data'!P281</f>
        <v>171</v>
      </c>
      <c r="R281" s="114">
        <f>'Sampling Data'!AJ281</f>
        <v>0</v>
      </c>
      <c r="S281" s="116"/>
      <c r="T281" s="116"/>
      <c r="U281" s="117"/>
      <c r="V281" s="117"/>
      <c r="W281" s="116"/>
      <c r="X281" s="116"/>
      <c r="Y281" s="116"/>
      <c r="Z281" s="116"/>
      <c r="AA281" s="15"/>
      <c r="AB281" s="15"/>
      <c r="AC281" s="15"/>
      <c r="AD281" s="15"/>
      <c r="AE281" s="118" t="str">
        <f>IF(NOT(ISBLANK(Audit[[#This Row],[Audit Winning Candidate]])), Audit[[#This Row],[Audit Winning Candidate]]-Audit[[#This Row],[Winning Candidate]], "")</f>
        <v/>
      </c>
      <c r="AF281" s="114" t="str">
        <f>IF(NOT(ISBLANK(Audit[[#This Row],[Audit Losing Candidate]])), Audit[[#This Row],[Audit Losing Candidate]]-Audit[[#This Row],[Losing Candidate]], "")</f>
        <v/>
      </c>
      <c r="AG281" s="114" t="str">
        <f>IF(NOT(ISBLANK(Audit[[#This Row],[Audit Candidate 3]])), Audit[[#This Row],[Audit Candidate 3]]-Audit[[#This Row],[Candidate 3]], "")</f>
        <v/>
      </c>
      <c r="AH281" s="114" t="str">
        <f>IF(NOT(ISBLANK(Audit[[#This Row],[Audit Candidate 4]])),Audit[[#This Row],[Audit Candidate 4]]-Audit[[#This Row],[Candidate 4]], "")</f>
        <v/>
      </c>
      <c r="AI281" s="114" t="str">
        <f>IF(NOT(ISBLANK(Audit[[#This Row],[Audit Candidate 5]])), Audit[[#This Row],[Audit Candidate 5]]-Audit[[#This Row],[Candidate 5]], "")</f>
        <v/>
      </c>
      <c r="AJ281" s="114" t="str">
        <f>IF(NOT(ISBLANK(Audit[[#This Row],[Audit Candidate 6]])), Audit[[#This Row],[Audit Candidate 6]]-Audit[[#This Row],[Candidate 6]], "")</f>
        <v/>
      </c>
      <c r="AK281" s="114" t="str">
        <f>IF(NOT(ISBLANK(Audit[[#This Row],[Audit Candidate 7]])), Audit[[#This Row],[Audit Candidate 7]]-Audit[[#This Row],[Candidate 7]], "")</f>
        <v/>
      </c>
      <c r="AL281" s="114" t="str">
        <f>IF(NOT(ISBLANK(Audit[[#This Row],[Audit Candidate 8]])), Audit[[#This Row],[Audit Candidate 8]]-Audit[[#This Row],[Candidate 8]], "")</f>
        <v/>
      </c>
      <c r="AM281" s="114" t="str">
        <f>IF(NOT(ISBLANK(Audit[[#This Row],[Audit Candidate 9]])), Audit[[#This Row],[Audit Candidate 9]]-Audit[[#This Row],[Candidate 9]], "")</f>
        <v/>
      </c>
      <c r="AN281" s="114" t="str">
        <f>IF(NOT(ISBLANK(Audit[[#This Row],[Audit Candidate 10]])), Audit[[#This Row],[Audit Candidate 10]]-Audit[[#This Row],[Candidate 10]], "")</f>
        <v/>
      </c>
      <c r="AO281" s="114" t="str">
        <f>IF(NOT(ISBLANK(Audit[[#This Row],[Audit Candidate 11]])), Audit[[#This Row],[Audit Candidate 11]]-Audit[[#This Row],[Candidate 11]], "")</f>
        <v/>
      </c>
      <c r="AP281" s="114" t="str">
        <f>IF(NOT(ISBLANK(Audit[[#This Row],[Audit Candidate 12]])), Audit[[#This Row],[Audit Candidate 12]]-Audit[[#This Row],[Candidate 12]], "")</f>
        <v/>
      </c>
      <c r="AQ281" s="114">
        <f>SUMIF(Audit[[#This Row],[Difference Winner]:[Difference Candidate 12]], "&gt;0")</f>
        <v>0</v>
      </c>
      <c r="AR281" s="114">
        <f>SUM(Audit[[#This Row],[Difference Winner]:[Difference Candidate 12]])</f>
        <v>0</v>
      </c>
      <c r="AS281" s="114">
        <f>IF(Audit[[#This Row],[Times p Drawn - With Replacement]]&gt;0, IF(Audit[[#This Row],[Canceled Differences]]&lt;0, Audit[[#This Row],[Max Differences]]+ABS(Audit[[#This Row],[Canceled Differences]]), Audit[[#This Row],[Max Differences]]), 0)</f>
        <v>0</v>
      </c>
      <c r="AT281" s="114">
        <f>'Sampling Data'!AB281</f>
        <v>1.9847038745970547E-2</v>
      </c>
      <c r="AU281" s="114">
        <f>IF(
      SUM(Audit[[#This Row],[Audit Losing Candidate]:[Audit Candidate 12]])
      &lt;&gt;0,
      (Audit[[#This Row],[Winning Candidate]]-Audit[[#This Row],[Losing Candidate]]-(Audit[[#This Row],[Audit Winning Candidate]]-Audit[[#This Row],[Audit Losing Candidate]]))/(Audit[[#Totals],[Winning Candidate]]-Audit[[#Totals],[Losing Candidate]]),
      0
)</f>
        <v>0</v>
      </c>
      <c r="AV2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1" s="114">
        <f>IF(Audit[[#This Row],[Max Relative Error (ep)]] = 0, 0, Audit[[#This Row],[Max Relative Error (ep)]]/Audit[[#This Row],[Error Bound (up) - Max. possible relative overstatement]])</f>
        <v>0</v>
      </c>
      <c r="BH2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1" s="114">
        <f t="shared" si="5"/>
        <v>1</v>
      </c>
      <c r="BJ281" s="114">
        <f>PRODUCT($BI$5:BI281)</f>
        <v>0.20973752198051165</v>
      </c>
      <c r="BK281" s="112">
        <f>1 - Audit[[#This Row],[K-M P Value]]</f>
        <v>0.79026247801948835</v>
      </c>
      <c r="BL281" s="114" t="str">
        <f>IF(Audit[[#This Row],[K-M P Value]]&gt;1-'General Info'!$B$12,"Continue", "Stop")</f>
        <v>Continue</v>
      </c>
      <c r="BM281" s="113" t="b">
        <f>IF(Audit[[#This Row],[Status - Continue or stop audit]] = "Continue", TRUE, IF(BL280 = "Continue", TRUE, FALSE))</f>
        <v>1</v>
      </c>
      <c r="BN281" s="113"/>
    </row>
    <row r="282" spans="1:66" ht="15" hidden="1" customHeight="1" x14ac:dyDescent="0.35">
      <c r="A282" s="114" t="str">
        <f>'Sampling Data'!AI282</f>
        <v/>
      </c>
      <c r="B282" s="114" t="str">
        <f>'Sampling Data'!A282</f>
        <v>1306 CIN 13-F   (ED)</v>
      </c>
      <c r="C282" s="114">
        <f>'Sampling Data'!B282</f>
        <v>126</v>
      </c>
      <c r="D282" s="114">
        <f>'Sampling Data'!C282</f>
        <v>1</v>
      </c>
      <c r="E282" s="115">
        <f>'Sampling Data'!D282</f>
        <v>2</v>
      </c>
      <c r="F282" s="115">
        <f>'Sampling Data'!E282</f>
        <v>0</v>
      </c>
      <c r="G282" s="115">
        <f>'Sampling Data'!F282</f>
        <v>0</v>
      </c>
      <c r="H282" s="115">
        <f>'Sampling Data'!G282</f>
        <v>0</v>
      </c>
      <c r="I282" s="115">
        <f>'Sampling Data'!H282</f>
        <v>0</v>
      </c>
      <c r="J282" s="115">
        <f>'Sampling Data'!I282</f>
        <v>0</v>
      </c>
      <c r="K282" s="115">
        <f>'Sampling Data'!J282</f>
        <v>0</v>
      </c>
      <c r="L282" s="115">
        <f>'Sampling Data'!K282</f>
        <v>0</v>
      </c>
      <c r="M282" s="115">
        <f>'Sampling Data'!L282</f>
        <v>0</v>
      </c>
      <c r="N282" s="115">
        <f>'Sampling Data'!M282</f>
        <v>0</v>
      </c>
      <c r="O282" s="114">
        <f>'Sampling Data'!N282</f>
        <v>0</v>
      </c>
      <c r="P282" s="114">
        <f>'Sampling Data'!O282</f>
        <v>1</v>
      </c>
      <c r="Q282" s="114">
        <f>'Sampling Data'!P282</f>
        <v>130</v>
      </c>
      <c r="R282" s="114">
        <f>'Sampling Data'!AJ282</f>
        <v>0</v>
      </c>
      <c r="S282" s="116"/>
      <c r="T282" s="116"/>
      <c r="U282" s="117"/>
      <c r="V282" s="117"/>
      <c r="W282" s="116"/>
      <c r="X282" s="116"/>
      <c r="Y282" s="116"/>
      <c r="Z282" s="116"/>
      <c r="AA282" s="15"/>
      <c r="AB282" s="15"/>
      <c r="AC282" s="15"/>
      <c r="AD282" s="15"/>
      <c r="AE282" s="118" t="str">
        <f>IF(NOT(ISBLANK(Audit[[#This Row],[Audit Winning Candidate]])), Audit[[#This Row],[Audit Winning Candidate]]-Audit[[#This Row],[Winning Candidate]], "")</f>
        <v/>
      </c>
      <c r="AF282" s="114" t="str">
        <f>IF(NOT(ISBLANK(Audit[[#This Row],[Audit Losing Candidate]])), Audit[[#This Row],[Audit Losing Candidate]]-Audit[[#This Row],[Losing Candidate]], "")</f>
        <v/>
      </c>
      <c r="AG282" s="114" t="str">
        <f>IF(NOT(ISBLANK(Audit[[#This Row],[Audit Candidate 3]])), Audit[[#This Row],[Audit Candidate 3]]-Audit[[#This Row],[Candidate 3]], "")</f>
        <v/>
      </c>
      <c r="AH282" s="114" t="str">
        <f>IF(NOT(ISBLANK(Audit[[#This Row],[Audit Candidate 4]])),Audit[[#This Row],[Audit Candidate 4]]-Audit[[#This Row],[Candidate 4]], "")</f>
        <v/>
      </c>
      <c r="AI282" s="114" t="str">
        <f>IF(NOT(ISBLANK(Audit[[#This Row],[Audit Candidate 5]])), Audit[[#This Row],[Audit Candidate 5]]-Audit[[#This Row],[Candidate 5]], "")</f>
        <v/>
      </c>
      <c r="AJ282" s="114" t="str">
        <f>IF(NOT(ISBLANK(Audit[[#This Row],[Audit Candidate 6]])), Audit[[#This Row],[Audit Candidate 6]]-Audit[[#This Row],[Candidate 6]], "")</f>
        <v/>
      </c>
      <c r="AK282" s="114" t="str">
        <f>IF(NOT(ISBLANK(Audit[[#This Row],[Audit Candidate 7]])), Audit[[#This Row],[Audit Candidate 7]]-Audit[[#This Row],[Candidate 7]], "")</f>
        <v/>
      </c>
      <c r="AL282" s="114" t="str">
        <f>IF(NOT(ISBLANK(Audit[[#This Row],[Audit Candidate 8]])), Audit[[#This Row],[Audit Candidate 8]]-Audit[[#This Row],[Candidate 8]], "")</f>
        <v/>
      </c>
      <c r="AM282" s="114" t="str">
        <f>IF(NOT(ISBLANK(Audit[[#This Row],[Audit Candidate 9]])), Audit[[#This Row],[Audit Candidate 9]]-Audit[[#This Row],[Candidate 9]], "")</f>
        <v/>
      </c>
      <c r="AN282" s="114" t="str">
        <f>IF(NOT(ISBLANK(Audit[[#This Row],[Audit Candidate 10]])), Audit[[#This Row],[Audit Candidate 10]]-Audit[[#This Row],[Candidate 10]], "")</f>
        <v/>
      </c>
      <c r="AO282" s="114" t="str">
        <f>IF(NOT(ISBLANK(Audit[[#This Row],[Audit Candidate 11]])), Audit[[#This Row],[Audit Candidate 11]]-Audit[[#This Row],[Candidate 11]], "")</f>
        <v/>
      </c>
      <c r="AP282" s="114" t="str">
        <f>IF(NOT(ISBLANK(Audit[[#This Row],[Audit Candidate 12]])), Audit[[#This Row],[Audit Candidate 12]]-Audit[[#This Row],[Candidate 12]], "")</f>
        <v/>
      </c>
      <c r="AQ282" s="114">
        <f>SUMIF(Audit[[#This Row],[Difference Winner]:[Difference Candidate 12]], "&gt;0")</f>
        <v>0</v>
      </c>
      <c r="AR282" s="114">
        <f>SUM(Audit[[#This Row],[Difference Winner]:[Difference Candidate 12]])</f>
        <v>0</v>
      </c>
      <c r="AS282" s="114">
        <f>IF(Audit[[#This Row],[Times p Drawn - With Replacement]]&gt;0, IF(Audit[[#This Row],[Canceled Differences]]&lt;0, Audit[[#This Row],[Max Differences]]+ABS(Audit[[#This Row],[Canceled Differences]]), Audit[[#This Row],[Max Differences]]), 0)</f>
        <v>0</v>
      </c>
      <c r="AT282" s="114">
        <f>'Sampling Data'!AB282</f>
        <v>1.611781808988054E-2</v>
      </c>
      <c r="AU282" s="114">
        <f>IF(
      SUM(Audit[[#This Row],[Audit Losing Candidate]:[Audit Candidate 12]])
      &lt;&gt;0,
      (Audit[[#This Row],[Winning Candidate]]-Audit[[#This Row],[Losing Candidate]]-(Audit[[#This Row],[Audit Winning Candidate]]-Audit[[#This Row],[Audit Losing Candidate]]))/(Audit[[#Totals],[Winning Candidate]]-Audit[[#Totals],[Losing Candidate]]),
      0
)</f>
        <v>0</v>
      </c>
      <c r="AV2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2" s="114">
        <f>IF(Audit[[#This Row],[Max Relative Error (ep)]] = 0, 0, Audit[[#This Row],[Max Relative Error (ep)]]/Audit[[#This Row],[Error Bound (up) - Max. possible relative overstatement]])</f>
        <v>0</v>
      </c>
      <c r="BH2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2" s="114">
        <f t="shared" si="5"/>
        <v>1</v>
      </c>
      <c r="BJ282" s="114">
        <f>PRODUCT($BI$5:BI282)</f>
        <v>0.20973752198051165</v>
      </c>
      <c r="BK282" s="112">
        <f>1 - Audit[[#This Row],[K-M P Value]]</f>
        <v>0.79026247801948835</v>
      </c>
      <c r="BL282" s="114" t="str">
        <f>IF(Audit[[#This Row],[K-M P Value]]&gt;1-'General Info'!$B$12,"Continue", "Stop")</f>
        <v>Continue</v>
      </c>
      <c r="BM282" s="113" t="b">
        <f>IF(Audit[[#This Row],[Status - Continue or stop audit]] = "Continue", TRUE, IF(BL281 = "Continue", TRUE, FALSE))</f>
        <v>1</v>
      </c>
      <c r="BN282" s="113"/>
    </row>
    <row r="283" spans="1:66" ht="15" hidden="1" customHeight="1" x14ac:dyDescent="0.35">
      <c r="A283" s="114" t="str">
        <f>'Sampling Data'!AI283</f>
        <v/>
      </c>
      <c r="B283" s="114" t="str">
        <f>'Sampling Data'!A283</f>
        <v>1307 CIN 13-G   (ED)</v>
      </c>
      <c r="C283" s="114">
        <f>'Sampling Data'!B283</f>
        <v>42</v>
      </c>
      <c r="D283" s="114">
        <f>'Sampling Data'!C283</f>
        <v>3</v>
      </c>
      <c r="E283" s="115">
        <f>'Sampling Data'!D283</f>
        <v>1</v>
      </c>
      <c r="F283" s="115">
        <f>'Sampling Data'!E283</f>
        <v>0</v>
      </c>
      <c r="G283" s="115">
        <f>'Sampling Data'!F283</f>
        <v>0</v>
      </c>
      <c r="H283" s="115">
        <f>'Sampling Data'!G283</f>
        <v>0</v>
      </c>
      <c r="I283" s="115">
        <f>'Sampling Data'!H283</f>
        <v>0</v>
      </c>
      <c r="J283" s="115">
        <f>'Sampling Data'!I283</f>
        <v>0</v>
      </c>
      <c r="K283" s="115">
        <f>'Sampling Data'!J283</f>
        <v>0</v>
      </c>
      <c r="L283" s="115">
        <f>'Sampling Data'!K283</f>
        <v>0</v>
      </c>
      <c r="M283" s="115">
        <f>'Sampling Data'!L283</f>
        <v>0</v>
      </c>
      <c r="N283" s="115">
        <f>'Sampling Data'!M283</f>
        <v>0</v>
      </c>
      <c r="O283" s="114">
        <f>'Sampling Data'!N283</f>
        <v>0</v>
      </c>
      <c r="P283" s="114">
        <f>'Sampling Data'!O283</f>
        <v>0</v>
      </c>
      <c r="Q283" s="114">
        <f>'Sampling Data'!P283</f>
        <v>46</v>
      </c>
      <c r="R283" s="114">
        <f>'Sampling Data'!AJ283</f>
        <v>0</v>
      </c>
      <c r="S283" s="116"/>
      <c r="T283" s="116"/>
      <c r="U283" s="117"/>
      <c r="V283" s="117"/>
      <c r="W283" s="116"/>
      <c r="X283" s="116"/>
      <c r="Y283" s="116"/>
      <c r="Z283" s="116"/>
      <c r="AA283" s="15"/>
      <c r="AB283" s="15"/>
      <c r="AC283" s="15"/>
      <c r="AD283" s="15"/>
      <c r="AE283" s="118" t="str">
        <f>IF(NOT(ISBLANK(Audit[[#This Row],[Audit Winning Candidate]])), Audit[[#This Row],[Audit Winning Candidate]]-Audit[[#This Row],[Winning Candidate]], "")</f>
        <v/>
      </c>
      <c r="AF283" s="114" t="str">
        <f>IF(NOT(ISBLANK(Audit[[#This Row],[Audit Losing Candidate]])), Audit[[#This Row],[Audit Losing Candidate]]-Audit[[#This Row],[Losing Candidate]], "")</f>
        <v/>
      </c>
      <c r="AG283" s="114" t="str">
        <f>IF(NOT(ISBLANK(Audit[[#This Row],[Audit Candidate 3]])), Audit[[#This Row],[Audit Candidate 3]]-Audit[[#This Row],[Candidate 3]], "")</f>
        <v/>
      </c>
      <c r="AH283" s="114" t="str">
        <f>IF(NOT(ISBLANK(Audit[[#This Row],[Audit Candidate 4]])),Audit[[#This Row],[Audit Candidate 4]]-Audit[[#This Row],[Candidate 4]], "")</f>
        <v/>
      </c>
      <c r="AI283" s="114" t="str">
        <f>IF(NOT(ISBLANK(Audit[[#This Row],[Audit Candidate 5]])), Audit[[#This Row],[Audit Candidate 5]]-Audit[[#This Row],[Candidate 5]], "")</f>
        <v/>
      </c>
      <c r="AJ283" s="114" t="str">
        <f>IF(NOT(ISBLANK(Audit[[#This Row],[Audit Candidate 6]])), Audit[[#This Row],[Audit Candidate 6]]-Audit[[#This Row],[Candidate 6]], "")</f>
        <v/>
      </c>
      <c r="AK283" s="114" t="str">
        <f>IF(NOT(ISBLANK(Audit[[#This Row],[Audit Candidate 7]])), Audit[[#This Row],[Audit Candidate 7]]-Audit[[#This Row],[Candidate 7]], "")</f>
        <v/>
      </c>
      <c r="AL283" s="114" t="str">
        <f>IF(NOT(ISBLANK(Audit[[#This Row],[Audit Candidate 8]])), Audit[[#This Row],[Audit Candidate 8]]-Audit[[#This Row],[Candidate 8]], "")</f>
        <v/>
      </c>
      <c r="AM283" s="114" t="str">
        <f>IF(NOT(ISBLANK(Audit[[#This Row],[Audit Candidate 9]])), Audit[[#This Row],[Audit Candidate 9]]-Audit[[#This Row],[Candidate 9]], "")</f>
        <v/>
      </c>
      <c r="AN283" s="114" t="str">
        <f>IF(NOT(ISBLANK(Audit[[#This Row],[Audit Candidate 10]])), Audit[[#This Row],[Audit Candidate 10]]-Audit[[#This Row],[Candidate 10]], "")</f>
        <v/>
      </c>
      <c r="AO283" s="114" t="str">
        <f>IF(NOT(ISBLANK(Audit[[#This Row],[Audit Candidate 11]])), Audit[[#This Row],[Audit Candidate 11]]-Audit[[#This Row],[Candidate 11]], "")</f>
        <v/>
      </c>
      <c r="AP283" s="114" t="str">
        <f>IF(NOT(ISBLANK(Audit[[#This Row],[Audit Candidate 12]])), Audit[[#This Row],[Audit Candidate 12]]-Audit[[#This Row],[Candidate 12]], "")</f>
        <v/>
      </c>
      <c r="AQ283" s="114">
        <f>SUMIF(Audit[[#This Row],[Difference Winner]:[Difference Candidate 12]], "&gt;0")</f>
        <v>0</v>
      </c>
      <c r="AR283" s="114">
        <f>SUM(Audit[[#This Row],[Difference Winner]:[Difference Candidate 12]])</f>
        <v>0</v>
      </c>
      <c r="AS283" s="114">
        <f>IF(Audit[[#This Row],[Times p Drawn - With Replacement]]&gt;0, IF(Audit[[#This Row],[Canceled Differences]]&lt;0, Audit[[#This Row],[Max Differences]]+ABS(Audit[[#This Row],[Canceled Differences]]), Audit[[#This Row],[Max Differences]]), 0)</f>
        <v>0</v>
      </c>
      <c r="AT283" s="114">
        <f>'Sampling Data'!AB283</f>
        <v>5.3726060299601796E-3</v>
      </c>
      <c r="AU283" s="114">
        <f>IF(
      SUM(Audit[[#This Row],[Audit Losing Candidate]:[Audit Candidate 12]])
      &lt;&gt;0,
      (Audit[[#This Row],[Winning Candidate]]-Audit[[#This Row],[Losing Candidate]]-(Audit[[#This Row],[Audit Winning Candidate]]-Audit[[#This Row],[Audit Losing Candidate]]))/(Audit[[#Totals],[Winning Candidate]]-Audit[[#Totals],[Losing Candidate]]),
      0
)</f>
        <v>0</v>
      </c>
      <c r="AV2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3" s="114">
        <f>IF(Audit[[#This Row],[Max Relative Error (ep)]] = 0, 0, Audit[[#This Row],[Max Relative Error (ep)]]/Audit[[#This Row],[Error Bound (up) - Max. possible relative overstatement]])</f>
        <v>0</v>
      </c>
      <c r="BH2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3" s="114">
        <f t="shared" si="5"/>
        <v>1</v>
      </c>
      <c r="BJ283" s="114">
        <f>PRODUCT($BI$5:BI283)</f>
        <v>0.20973752198051165</v>
      </c>
      <c r="BK283" s="112">
        <f>1 - Audit[[#This Row],[K-M P Value]]</f>
        <v>0.79026247801948835</v>
      </c>
      <c r="BL283" s="114" t="str">
        <f>IF(Audit[[#This Row],[K-M P Value]]&gt;1-'General Info'!$B$12,"Continue", "Stop")</f>
        <v>Continue</v>
      </c>
      <c r="BM283" s="113" t="b">
        <f>IF(Audit[[#This Row],[Status - Continue or stop audit]] = "Continue", TRUE, IF(BL282 = "Continue", TRUE, FALSE))</f>
        <v>1</v>
      </c>
      <c r="BN283" s="113"/>
    </row>
    <row r="284" spans="1:66" ht="15" hidden="1" customHeight="1" x14ac:dyDescent="0.35">
      <c r="A284" s="114" t="str">
        <f>'Sampling Data'!AI284</f>
        <v/>
      </c>
      <c r="B284" s="114" t="str">
        <f>'Sampling Data'!A284</f>
        <v>1308 CIN 13-H   (ED)</v>
      </c>
      <c r="C284" s="114">
        <f>'Sampling Data'!B284</f>
        <v>4</v>
      </c>
      <c r="D284" s="114">
        <f>'Sampling Data'!C284</f>
        <v>2</v>
      </c>
      <c r="E284" s="115">
        <f>'Sampling Data'!D284</f>
        <v>1</v>
      </c>
      <c r="F284" s="115">
        <f>'Sampling Data'!E284</f>
        <v>0</v>
      </c>
      <c r="G284" s="115">
        <f>'Sampling Data'!F284</f>
        <v>0</v>
      </c>
      <c r="H284" s="115">
        <f>'Sampling Data'!G284</f>
        <v>0</v>
      </c>
      <c r="I284" s="115">
        <f>'Sampling Data'!H284</f>
        <v>0</v>
      </c>
      <c r="J284" s="115">
        <f>'Sampling Data'!I284</f>
        <v>0</v>
      </c>
      <c r="K284" s="115">
        <f>'Sampling Data'!J284</f>
        <v>0</v>
      </c>
      <c r="L284" s="115">
        <f>'Sampling Data'!K284</f>
        <v>0</v>
      </c>
      <c r="M284" s="115">
        <f>'Sampling Data'!L284</f>
        <v>0</v>
      </c>
      <c r="N284" s="115">
        <f>'Sampling Data'!M284</f>
        <v>0</v>
      </c>
      <c r="O284" s="114">
        <f>'Sampling Data'!N284</f>
        <v>0</v>
      </c>
      <c r="P284" s="114">
        <f>'Sampling Data'!O284</f>
        <v>0</v>
      </c>
      <c r="Q284" s="114">
        <f>'Sampling Data'!P284</f>
        <v>7</v>
      </c>
      <c r="R284" s="114">
        <f>'Sampling Data'!AJ284</f>
        <v>0</v>
      </c>
      <c r="S284" s="116"/>
      <c r="T284" s="116"/>
      <c r="U284" s="117"/>
      <c r="V284" s="117"/>
      <c r="W284" s="116"/>
      <c r="X284" s="116"/>
      <c r="Y284" s="116"/>
      <c r="Z284" s="116"/>
      <c r="AA284" s="15"/>
      <c r="AB284" s="15"/>
      <c r="AC284" s="15"/>
      <c r="AD284" s="15"/>
      <c r="AE284" s="118" t="str">
        <f>IF(NOT(ISBLANK(Audit[[#This Row],[Audit Winning Candidate]])), Audit[[#This Row],[Audit Winning Candidate]]-Audit[[#This Row],[Winning Candidate]], "")</f>
        <v/>
      </c>
      <c r="AF284" s="114" t="str">
        <f>IF(NOT(ISBLANK(Audit[[#This Row],[Audit Losing Candidate]])), Audit[[#This Row],[Audit Losing Candidate]]-Audit[[#This Row],[Losing Candidate]], "")</f>
        <v/>
      </c>
      <c r="AG284" s="114" t="str">
        <f>IF(NOT(ISBLANK(Audit[[#This Row],[Audit Candidate 3]])), Audit[[#This Row],[Audit Candidate 3]]-Audit[[#This Row],[Candidate 3]], "")</f>
        <v/>
      </c>
      <c r="AH284" s="114" t="str">
        <f>IF(NOT(ISBLANK(Audit[[#This Row],[Audit Candidate 4]])),Audit[[#This Row],[Audit Candidate 4]]-Audit[[#This Row],[Candidate 4]], "")</f>
        <v/>
      </c>
      <c r="AI284" s="114" t="str">
        <f>IF(NOT(ISBLANK(Audit[[#This Row],[Audit Candidate 5]])), Audit[[#This Row],[Audit Candidate 5]]-Audit[[#This Row],[Candidate 5]], "")</f>
        <v/>
      </c>
      <c r="AJ284" s="114" t="str">
        <f>IF(NOT(ISBLANK(Audit[[#This Row],[Audit Candidate 6]])), Audit[[#This Row],[Audit Candidate 6]]-Audit[[#This Row],[Candidate 6]], "")</f>
        <v/>
      </c>
      <c r="AK284" s="114" t="str">
        <f>IF(NOT(ISBLANK(Audit[[#This Row],[Audit Candidate 7]])), Audit[[#This Row],[Audit Candidate 7]]-Audit[[#This Row],[Candidate 7]], "")</f>
        <v/>
      </c>
      <c r="AL284" s="114" t="str">
        <f>IF(NOT(ISBLANK(Audit[[#This Row],[Audit Candidate 8]])), Audit[[#This Row],[Audit Candidate 8]]-Audit[[#This Row],[Candidate 8]], "")</f>
        <v/>
      </c>
      <c r="AM284" s="114" t="str">
        <f>IF(NOT(ISBLANK(Audit[[#This Row],[Audit Candidate 9]])), Audit[[#This Row],[Audit Candidate 9]]-Audit[[#This Row],[Candidate 9]], "")</f>
        <v/>
      </c>
      <c r="AN284" s="114" t="str">
        <f>IF(NOT(ISBLANK(Audit[[#This Row],[Audit Candidate 10]])), Audit[[#This Row],[Audit Candidate 10]]-Audit[[#This Row],[Candidate 10]], "")</f>
        <v/>
      </c>
      <c r="AO284" s="114" t="str">
        <f>IF(NOT(ISBLANK(Audit[[#This Row],[Audit Candidate 11]])), Audit[[#This Row],[Audit Candidate 11]]-Audit[[#This Row],[Candidate 11]], "")</f>
        <v/>
      </c>
      <c r="AP284" s="114" t="str">
        <f>IF(NOT(ISBLANK(Audit[[#This Row],[Audit Candidate 12]])), Audit[[#This Row],[Audit Candidate 12]]-Audit[[#This Row],[Candidate 12]], "")</f>
        <v/>
      </c>
      <c r="AQ284" s="114">
        <f>SUMIF(Audit[[#This Row],[Difference Winner]:[Difference Candidate 12]], "&gt;0")</f>
        <v>0</v>
      </c>
      <c r="AR284" s="114">
        <f>SUM(Audit[[#This Row],[Difference Winner]:[Difference Candidate 12]])</f>
        <v>0</v>
      </c>
      <c r="AS284" s="114">
        <f>IF(Audit[[#This Row],[Times p Drawn - With Replacement]]&gt;0, IF(Audit[[#This Row],[Canceled Differences]]&lt;0, Audit[[#This Row],[Max Differences]]+ABS(Audit[[#This Row],[Canceled Differences]]), Audit[[#This Row],[Max Differences]]), 0)</f>
        <v>0</v>
      </c>
      <c r="AT284" s="114">
        <f>'Sampling Data'!AB284</f>
        <v>5.6886416787813661E-4</v>
      </c>
      <c r="AU284" s="114">
        <f>IF(
      SUM(Audit[[#This Row],[Audit Losing Candidate]:[Audit Candidate 12]])
      &lt;&gt;0,
      (Audit[[#This Row],[Winning Candidate]]-Audit[[#This Row],[Losing Candidate]]-(Audit[[#This Row],[Audit Winning Candidate]]-Audit[[#This Row],[Audit Losing Candidate]]))/(Audit[[#Totals],[Winning Candidate]]-Audit[[#Totals],[Losing Candidate]]),
      0
)</f>
        <v>0</v>
      </c>
      <c r="AV2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4" s="114">
        <f>IF(Audit[[#This Row],[Max Relative Error (ep)]] = 0, 0, Audit[[#This Row],[Max Relative Error (ep)]]/Audit[[#This Row],[Error Bound (up) - Max. possible relative overstatement]])</f>
        <v>0</v>
      </c>
      <c r="BH2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4" s="114">
        <f t="shared" si="5"/>
        <v>1</v>
      </c>
      <c r="BJ284" s="114">
        <f>PRODUCT($BI$5:BI284)</f>
        <v>0.20973752198051165</v>
      </c>
      <c r="BK284" s="112">
        <f>1 - Audit[[#This Row],[K-M P Value]]</f>
        <v>0.79026247801948835</v>
      </c>
      <c r="BL284" s="114" t="str">
        <f>IF(Audit[[#This Row],[K-M P Value]]&gt;1-'General Info'!$B$12,"Continue", "Stop")</f>
        <v>Continue</v>
      </c>
      <c r="BM284" s="113" t="b">
        <f>IF(Audit[[#This Row],[Status - Continue or stop audit]] = "Continue", TRUE, IF(BL283 = "Continue", TRUE, FALSE))</f>
        <v>1</v>
      </c>
      <c r="BN284" s="113"/>
    </row>
    <row r="285" spans="1:66" ht="15" hidden="1" customHeight="1" x14ac:dyDescent="0.35">
      <c r="A285" s="114" t="str">
        <f>'Sampling Data'!AI285</f>
        <v/>
      </c>
      <c r="B285" s="114" t="str">
        <f>'Sampling Data'!A285</f>
        <v>1401 CIN 14-A   (ED)</v>
      </c>
      <c r="C285" s="114">
        <f>'Sampling Data'!B285</f>
        <v>170</v>
      </c>
      <c r="D285" s="114">
        <f>'Sampling Data'!C285</f>
        <v>16</v>
      </c>
      <c r="E285" s="115">
        <f>'Sampling Data'!D285</f>
        <v>6</v>
      </c>
      <c r="F285" s="115">
        <f>'Sampling Data'!E285</f>
        <v>0</v>
      </c>
      <c r="G285" s="115">
        <f>'Sampling Data'!F285</f>
        <v>0</v>
      </c>
      <c r="H285" s="115">
        <f>'Sampling Data'!G285</f>
        <v>0</v>
      </c>
      <c r="I285" s="115">
        <f>'Sampling Data'!H285</f>
        <v>0</v>
      </c>
      <c r="J285" s="115">
        <f>'Sampling Data'!I285</f>
        <v>0</v>
      </c>
      <c r="K285" s="115">
        <f>'Sampling Data'!J285</f>
        <v>0</v>
      </c>
      <c r="L285" s="115">
        <f>'Sampling Data'!K285</f>
        <v>0</v>
      </c>
      <c r="M285" s="115">
        <f>'Sampling Data'!L285</f>
        <v>0</v>
      </c>
      <c r="N285" s="115">
        <f>'Sampling Data'!M285</f>
        <v>0</v>
      </c>
      <c r="O285" s="114">
        <f>'Sampling Data'!N285</f>
        <v>0</v>
      </c>
      <c r="P285" s="114">
        <f>'Sampling Data'!O285</f>
        <v>5</v>
      </c>
      <c r="Q285" s="114">
        <f>'Sampling Data'!P285</f>
        <v>197</v>
      </c>
      <c r="R285" s="114">
        <f>'Sampling Data'!AJ285</f>
        <v>0</v>
      </c>
      <c r="S285" s="116"/>
      <c r="T285" s="116"/>
      <c r="U285" s="117"/>
      <c r="V285" s="117"/>
      <c r="W285" s="116"/>
      <c r="X285" s="116"/>
      <c r="Y285" s="116"/>
      <c r="Z285" s="116"/>
      <c r="AA285" s="15"/>
      <c r="AB285" s="15"/>
      <c r="AC285" s="15"/>
      <c r="AD285" s="15"/>
      <c r="AE285" s="118" t="str">
        <f>IF(NOT(ISBLANK(Audit[[#This Row],[Audit Winning Candidate]])), Audit[[#This Row],[Audit Winning Candidate]]-Audit[[#This Row],[Winning Candidate]], "")</f>
        <v/>
      </c>
      <c r="AF285" s="114" t="str">
        <f>IF(NOT(ISBLANK(Audit[[#This Row],[Audit Losing Candidate]])), Audit[[#This Row],[Audit Losing Candidate]]-Audit[[#This Row],[Losing Candidate]], "")</f>
        <v/>
      </c>
      <c r="AG285" s="114" t="str">
        <f>IF(NOT(ISBLANK(Audit[[#This Row],[Audit Candidate 3]])), Audit[[#This Row],[Audit Candidate 3]]-Audit[[#This Row],[Candidate 3]], "")</f>
        <v/>
      </c>
      <c r="AH285" s="114" t="str">
        <f>IF(NOT(ISBLANK(Audit[[#This Row],[Audit Candidate 4]])),Audit[[#This Row],[Audit Candidate 4]]-Audit[[#This Row],[Candidate 4]], "")</f>
        <v/>
      </c>
      <c r="AI285" s="114" t="str">
        <f>IF(NOT(ISBLANK(Audit[[#This Row],[Audit Candidate 5]])), Audit[[#This Row],[Audit Candidate 5]]-Audit[[#This Row],[Candidate 5]], "")</f>
        <v/>
      </c>
      <c r="AJ285" s="114" t="str">
        <f>IF(NOT(ISBLANK(Audit[[#This Row],[Audit Candidate 6]])), Audit[[#This Row],[Audit Candidate 6]]-Audit[[#This Row],[Candidate 6]], "")</f>
        <v/>
      </c>
      <c r="AK285" s="114" t="str">
        <f>IF(NOT(ISBLANK(Audit[[#This Row],[Audit Candidate 7]])), Audit[[#This Row],[Audit Candidate 7]]-Audit[[#This Row],[Candidate 7]], "")</f>
        <v/>
      </c>
      <c r="AL285" s="114" t="str">
        <f>IF(NOT(ISBLANK(Audit[[#This Row],[Audit Candidate 8]])), Audit[[#This Row],[Audit Candidate 8]]-Audit[[#This Row],[Candidate 8]], "")</f>
        <v/>
      </c>
      <c r="AM285" s="114" t="str">
        <f>IF(NOT(ISBLANK(Audit[[#This Row],[Audit Candidate 9]])), Audit[[#This Row],[Audit Candidate 9]]-Audit[[#This Row],[Candidate 9]], "")</f>
        <v/>
      </c>
      <c r="AN285" s="114" t="str">
        <f>IF(NOT(ISBLANK(Audit[[#This Row],[Audit Candidate 10]])), Audit[[#This Row],[Audit Candidate 10]]-Audit[[#This Row],[Candidate 10]], "")</f>
        <v/>
      </c>
      <c r="AO285" s="114" t="str">
        <f>IF(NOT(ISBLANK(Audit[[#This Row],[Audit Candidate 11]])), Audit[[#This Row],[Audit Candidate 11]]-Audit[[#This Row],[Candidate 11]], "")</f>
        <v/>
      </c>
      <c r="AP285" s="114" t="str">
        <f>IF(NOT(ISBLANK(Audit[[#This Row],[Audit Candidate 12]])), Audit[[#This Row],[Audit Candidate 12]]-Audit[[#This Row],[Candidate 12]], "")</f>
        <v/>
      </c>
      <c r="AQ285" s="114">
        <f>SUMIF(Audit[[#This Row],[Difference Winner]:[Difference Candidate 12]], "&gt;0")</f>
        <v>0</v>
      </c>
      <c r="AR285" s="114">
        <f>SUM(Audit[[#This Row],[Difference Winner]:[Difference Candidate 12]])</f>
        <v>0</v>
      </c>
      <c r="AS285" s="114">
        <f>IF(Audit[[#This Row],[Times p Drawn - With Replacement]]&gt;0, IF(Audit[[#This Row],[Canceled Differences]]&lt;0, Audit[[#This Row],[Max Differences]]+ABS(Audit[[#This Row],[Canceled Differences]]), Audit[[#This Row],[Max Differences]]), 0)</f>
        <v>0</v>
      </c>
      <c r="AT285" s="114">
        <f>'Sampling Data'!AB285</f>
        <v>2.2185702547247329E-2</v>
      </c>
      <c r="AU285" s="114">
        <f>IF(
      SUM(Audit[[#This Row],[Audit Losing Candidate]:[Audit Candidate 12]])
      &lt;&gt;0,
      (Audit[[#This Row],[Winning Candidate]]-Audit[[#This Row],[Losing Candidate]]-(Audit[[#This Row],[Audit Winning Candidate]]-Audit[[#This Row],[Audit Losing Candidate]]))/(Audit[[#Totals],[Winning Candidate]]-Audit[[#Totals],[Losing Candidate]]),
      0
)</f>
        <v>0</v>
      </c>
      <c r="AV28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5" s="114">
        <f>IF(Audit[[#This Row],[Max Relative Error (ep)]] = 0, 0, Audit[[#This Row],[Max Relative Error (ep)]]/Audit[[#This Row],[Error Bound (up) - Max. possible relative overstatement]])</f>
        <v>0</v>
      </c>
      <c r="BH28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5" s="114">
        <f t="shared" si="5"/>
        <v>1</v>
      </c>
      <c r="BJ285" s="114">
        <f>PRODUCT($BI$5:BI285)</f>
        <v>0.20973752198051165</v>
      </c>
      <c r="BK285" s="112">
        <f>1 - Audit[[#This Row],[K-M P Value]]</f>
        <v>0.79026247801948835</v>
      </c>
      <c r="BL285" s="114" t="str">
        <f>IF(Audit[[#This Row],[K-M P Value]]&gt;1-'General Info'!$B$12,"Continue", "Stop")</f>
        <v>Continue</v>
      </c>
      <c r="BM285" s="113" t="b">
        <f>IF(Audit[[#This Row],[Status - Continue or stop audit]] = "Continue", TRUE, IF(BL284 = "Continue", TRUE, FALSE))</f>
        <v>1</v>
      </c>
      <c r="BN285" s="113"/>
    </row>
    <row r="286" spans="1:66" ht="15" hidden="1" customHeight="1" x14ac:dyDescent="0.35">
      <c r="A286" s="114" t="str">
        <f>'Sampling Data'!AI286</f>
        <v/>
      </c>
      <c r="B286" s="114" t="str">
        <f>'Sampling Data'!A286</f>
        <v>1402 CIN 14-B   (ED)</v>
      </c>
      <c r="C286" s="114">
        <f>'Sampling Data'!B286</f>
        <v>127</v>
      </c>
      <c r="D286" s="114">
        <f>'Sampling Data'!C286</f>
        <v>6</v>
      </c>
      <c r="E286" s="115">
        <f>'Sampling Data'!D286</f>
        <v>0</v>
      </c>
      <c r="F286" s="115">
        <f>'Sampling Data'!E286</f>
        <v>0</v>
      </c>
      <c r="G286" s="115">
        <f>'Sampling Data'!F286</f>
        <v>0</v>
      </c>
      <c r="H286" s="115">
        <f>'Sampling Data'!G286</f>
        <v>0</v>
      </c>
      <c r="I286" s="115">
        <f>'Sampling Data'!H286</f>
        <v>0</v>
      </c>
      <c r="J286" s="115">
        <f>'Sampling Data'!I286</f>
        <v>0</v>
      </c>
      <c r="K286" s="115">
        <f>'Sampling Data'!J286</f>
        <v>0</v>
      </c>
      <c r="L286" s="115">
        <f>'Sampling Data'!K286</f>
        <v>0</v>
      </c>
      <c r="M286" s="115">
        <f>'Sampling Data'!L286</f>
        <v>0</v>
      </c>
      <c r="N286" s="115">
        <f>'Sampling Data'!M286</f>
        <v>0</v>
      </c>
      <c r="O286" s="114">
        <f>'Sampling Data'!N286</f>
        <v>0</v>
      </c>
      <c r="P286" s="114">
        <f>'Sampling Data'!O286</f>
        <v>0</v>
      </c>
      <c r="Q286" s="114">
        <f>'Sampling Data'!P286</f>
        <v>133</v>
      </c>
      <c r="R286" s="114">
        <f>'Sampling Data'!AJ286</f>
        <v>0</v>
      </c>
      <c r="S286" s="116"/>
      <c r="T286" s="116"/>
      <c r="U286" s="117"/>
      <c r="V286" s="117"/>
      <c r="W286" s="116"/>
      <c r="X286" s="116"/>
      <c r="Y286" s="116"/>
      <c r="Z286" s="116"/>
      <c r="AA286" s="15"/>
      <c r="AB286" s="15"/>
      <c r="AC286" s="15"/>
      <c r="AD286" s="15"/>
      <c r="AE286" s="118" t="str">
        <f>IF(NOT(ISBLANK(Audit[[#This Row],[Audit Winning Candidate]])), Audit[[#This Row],[Audit Winning Candidate]]-Audit[[#This Row],[Winning Candidate]], "")</f>
        <v/>
      </c>
      <c r="AF286" s="114" t="str">
        <f>IF(NOT(ISBLANK(Audit[[#This Row],[Audit Losing Candidate]])), Audit[[#This Row],[Audit Losing Candidate]]-Audit[[#This Row],[Losing Candidate]], "")</f>
        <v/>
      </c>
      <c r="AG286" s="114" t="str">
        <f>IF(NOT(ISBLANK(Audit[[#This Row],[Audit Candidate 3]])), Audit[[#This Row],[Audit Candidate 3]]-Audit[[#This Row],[Candidate 3]], "")</f>
        <v/>
      </c>
      <c r="AH286" s="114" t="str">
        <f>IF(NOT(ISBLANK(Audit[[#This Row],[Audit Candidate 4]])),Audit[[#This Row],[Audit Candidate 4]]-Audit[[#This Row],[Candidate 4]], "")</f>
        <v/>
      </c>
      <c r="AI286" s="114" t="str">
        <f>IF(NOT(ISBLANK(Audit[[#This Row],[Audit Candidate 5]])), Audit[[#This Row],[Audit Candidate 5]]-Audit[[#This Row],[Candidate 5]], "")</f>
        <v/>
      </c>
      <c r="AJ286" s="114" t="str">
        <f>IF(NOT(ISBLANK(Audit[[#This Row],[Audit Candidate 6]])), Audit[[#This Row],[Audit Candidate 6]]-Audit[[#This Row],[Candidate 6]], "")</f>
        <v/>
      </c>
      <c r="AK286" s="114" t="str">
        <f>IF(NOT(ISBLANK(Audit[[#This Row],[Audit Candidate 7]])), Audit[[#This Row],[Audit Candidate 7]]-Audit[[#This Row],[Candidate 7]], "")</f>
        <v/>
      </c>
      <c r="AL286" s="114" t="str">
        <f>IF(NOT(ISBLANK(Audit[[#This Row],[Audit Candidate 8]])), Audit[[#This Row],[Audit Candidate 8]]-Audit[[#This Row],[Candidate 8]], "")</f>
        <v/>
      </c>
      <c r="AM286" s="114" t="str">
        <f>IF(NOT(ISBLANK(Audit[[#This Row],[Audit Candidate 9]])), Audit[[#This Row],[Audit Candidate 9]]-Audit[[#This Row],[Candidate 9]], "")</f>
        <v/>
      </c>
      <c r="AN286" s="114" t="str">
        <f>IF(NOT(ISBLANK(Audit[[#This Row],[Audit Candidate 10]])), Audit[[#This Row],[Audit Candidate 10]]-Audit[[#This Row],[Candidate 10]], "")</f>
        <v/>
      </c>
      <c r="AO286" s="114" t="str">
        <f>IF(NOT(ISBLANK(Audit[[#This Row],[Audit Candidate 11]])), Audit[[#This Row],[Audit Candidate 11]]-Audit[[#This Row],[Candidate 11]], "")</f>
        <v/>
      </c>
      <c r="AP286" s="114" t="str">
        <f>IF(NOT(ISBLANK(Audit[[#This Row],[Audit Candidate 12]])), Audit[[#This Row],[Audit Candidate 12]]-Audit[[#This Row],[Candidate 12]], "")</f>
        <v/>
      </c>
      <c r="AQ286" s="114">
        <f>SUMIF(Audit[[#This Row],[Difference Winner]:[Difference Candidate 12]], "&gt;0")</f>
        <v>0</v>
      </c>
      <c r="AR286" s="114">
        <f>SUM(Audit[[#This Row],[Difference Winner]:[Difference Candidate 12]])</f>
        <v>0</v>
      </c>
      <c r="AS286" s="114">
        <f>IF(Audit[[#This Row],[Times p Drawn - With Replacement]]&gt;0, IF(Audit[[#This Row],[Canceled Differences]]&lt;0, Audit[[#This Row],[Max Differences]]+ABS(Audit[[#This Row],[Canceled Differences]]), Audit[[#This Row],[Max Differences]]), 0)</f>
        <v>0</v>
      </c>
      <c r="AT286" s="114">
        <f>'Sampling Data'!AB286</f>
        <v>1.6054610960116303E-2</v>
      </c>
      <c r="AU286" s="114">
        <f>IF(
      SUM(Audit[[#This Row],[Audit Losing Candidate]:[Audit Candidate 12]])
      &lt;&gt;0,
      (Audit[[#This Row],[Winning Candidate]]-Audit[[#This Row],[Losing Candidate]]-(Audit[[#This Row],[Audit Winning Candidate]]-Audit[[#This Row],[Audit Losing Candidate]]))/(Audit[[#Totals],[Winning Candidate]]-Audit[[#Totals],[Losing Candidate]]),
      0
)</f>
        <v>0</v>
      </c>
      <c r="AV28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6" s="114">
        <f>IF(Audit[[#This Row],[Max Relative Error (ep)]] = 0, 0, Audit[[#This Row],[Max Relative Error (ep)]]/Audit[[#This Row],[Error Bound (up) - Max. possible relative overstatement]])</f>
        <v>0</v>
      </c>
      <c r="BH28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6" s="114">
        <f t="shared" si="5"/>
        <v>1</v>
      </c>
      <c r="BJ286" s="114">
        <f>PRODUCT($BI$5:BI286)</f>
        <v>0.20973752198051165</v>
      </c>
      <c r="BK286" s="112">
        <f>1 - Audit[[#This Row],[K-M P Value]]</f>
        <v>0.79026247801948835</v>
      </c>
      <c r="BL286" s="114" t="str">
        <f>IF(Audit[[#This Row],[K-M P Value]]&gt;1-'General Info'!$B$12,"Continue", "Stop")</f>
        <v>Continue</v>
      </c>
      <c r="BM286" s="113" t="b">
        <f>IF(Audit[[#This Row],[Status - Continue or stop audit]] = "Continue", TRUE, IF(BL285 = "Continue", TRUE, FALSE))</f>
        <v>1</v>
      </c>
      <c r="BN286" s="113"/>
    </row>
    <row r="287" spans="1:66" ht="15" hidden="1" customHeight="1" x14ac:dyDescent="0.35">
      <c r="A287" s="114" t="str">
        <f>'Sampling Data'!AI287</f>
        <v/>
      </c>
      <c r="B287" s="114" t="str">
        <f>'Sampling Data'!A287</f>
        <v>1403 CIN 14-C   (ED)</v>
      </c>
      <c r="C287" s="114">
        <f>'Sampling Data'!B287</f>
        <v>62</v>
      </c>
      <c r="D287" s="114">
        <f>'Sampling Data'!C287</f>
        <v>8</v>
      </c>
      <c r="E287" s="115">
        <f>'Sampling Data'!D287</f>
        <v>7</v>
      </c>
      <c r="F287" s="115">
        <f>'Sampling Data'!E287</f>
        <v>0</v>
      </c>
      <c r="G287" s="115">
        <f>'Sampling Data'!F287</f>
        <v>0</v>
      </c>
      <c r="H287" s="115">
        <f>'Sampling Data'!G287</f>
        <v>0</v>
      </c>
      <c r="I287" s="115">
        <f>'Sampling Data'!H287</f>
        <v>0</v>
      </c>
      <c r="J287" s="115">
        <f>'Sampling Data'!I287</f>
        <v>0</v>
      </c>
      <c r="K287" s="115">
        <f>'Sampling Data'!J287</f>
        <v>0</v>
      </c>
      <c r="L287" s="115">
        <f>'Sampling Data'!K287</f>
        <v>0</v>
      </c>
      <c r="M287" s="115">
        <f>'Sampling Data'!L287</f>
        <v>0</v>
      </c>
      <c r="N287" s="115">
        <f>'Sampling Data'!M287</f>
        <v>0</v>
      </c>
      <c r="O287" s="114">
        <f>'Sampling Data'!N287</f>
        <v>0</v>
      </c>
      <c r="P287" s="114">
        <f>'Sampling Data'!O287</f>
        <v>1</v>
      </c>
      <c r="Q287" s="114">
        <f>'Sampling Data'!P287</f>
        <v>78</v>
      </c>
      <c r="R287" s="114">
        <f>'Sampling Data'!AJ287</f>
        <v>0</v>
      </c>
      <c r="S287" s="116"/>
      <c r="T287" s="116"/>
      <c r="U287" s="117"/>
      <c r="V287" s="117"/>
      <c r="W287" s="116"/>
      <c r="X287" s="116"/>
      <c r="Y287" s="116"/>
      <c r="Z287" s="116"/>
      <c r="AA287" s="15"/>
      <c r="AB287" s="15"/>
      <c r="AC287" s="15"/>
      <c r="AD287" s="15"/>
      <c r="AE287" s="118" t="str">
        <f>IF(NOT(ISBLANK(Audit[[#This Row],[Audit Winning Candidate]])), Audit[[#This Row],[Audit Winning Candidate]]-Audit[[#This Row],[Winning Candidate]], "")</f>
        <v/>
      </c>
      <c r="AF287" s="114" t="str">
        <f>IF(NOT(ISBLANK(Audit[[#This Row],[Audit Losing Candidate]])), Audit[[#This Row],[Audit Losing Candidate]]-Audit[[#This Row],[Losing Candidate]], "")</f>
        <v/>
      </c>
      <c r="AG287" s="114" t="str">
        <f>IF(NOT(ISBLANK(Audit[[#This Row],[Audit Candidate 3]])), Audit[[#This Row],[Audit Candidate 3]]-Audit[[#This Row],[Candidate 3]], "")</f>
        <v/>
      </c>
      <c r="AH287" s="114" t="str">
        <f>IF(NOT(ISBLANK(Audit[[#This Row],[Audit Candidate 4]])),Audit[[#This Row],[Audit Candidate 4]]-Audit[[#This Row],[Candidate 4]], "")</f>
        <v/>
      </c>
      <c r="AI287" s="114" t="str">
        <f>IF(NOT(ISBLANK(Audit[[#This Row],[Audit Candidate 5]])), Audit[[#This Row],[Audit Candidate 5]]-Audit[[#This Row],[Candidate 5]], "")</f>
        <v/>
      </c>
      <c r="AJ287" s="114" t="str">
        <f>IF(NOT(ISBLANK(Audit[[#This Row],[Audit Candidate 6]])), Audit[[#This Row],[Audit Candidate 6]]-Audit[[#This Row],[Candidate 6]], "")</f>
        <v/>
      </c>
      <c r="AK287" s="114" t="str">
        <f>IF(NOT(ISBLANK(Audit[[#This Row],[Audit Candidate 7]])), Audit[[#This Row],[Audit Candidate 7]]-Audit[[#This Row],[Candidate 7]], "")</f>
        <v/>
      </c>
      <c r="AL287" s="114" t="str">
        <f>IF(NOT(ISBLANK(Audit[[#This Row],[Audit Candidate 8]])), Audit[[#This Row],[Audit Candidate 8]]-Audit[[#This Row],[Candidate 8]], "")</f>
        <v/>
      </c>
      <c r="AM287" s="114" t="str">
        <f>IF(NOT(ISBLANK(Audit[[#This Row],[Audit Candidate 9]])), Audit[[#This Row],[Audit Candidate 9]]-Audit[[#This Row],[Candidate 9]], "")</f>
        <v/>
      </c>
      <c r="AN287" s="114" t="str">
        <f>IF(NOT(ISBLANK(Audit[[#This Row],[Audit Candidate 10]])), Audit[[#This Row],[Audit Candidate 10]]-Audit[[#This Row],[Candidate 10]], "")</f>
        <v/>
      </c>
      <c r="AO287" s="114" t="str">
        <f>IF(NOT(ISBLANK(Audit[[#This Row],[Audit Candidate 11]])), Audit[[#This Row],[Audit Candidate 11]]-Audit[[#This Row],[Candidate 11]], "")</f>
        <v/>
      </c>
      <c r="AP287" s="114" t="str">
        <f>IF(NOT(ISBLANK(Audit[[#This Row],[Audit Candidate 12]])), Audit[[#This Row],[Audit Candidate 12]]-Audit[[#This Row],[Candidate 12]], "")</f>
        <v/>
      </c>
      <c r="AQ287" s="114">
        <f>SUMIF(Audit[[#This Row],[Difference Winner]:[Difference Candidate 12]], "&gt;0")</f>
        <v>0</v>
      </c>
      <c r="AR287" s="114">
        <f>SUM(Audit[[#This Row],[Difference Winner]:[Difference Candidate 12]])</f>
        <v>0</v>
      </c>
      <c r="AS287" s="114">
        <f>IF(Audit[[#This Row],[Times p Drawn - With Replacement]]&gt;0, IF(Audit[[#This Row],[Canceled Differences]]&lt;0, Audit[[#This Row],[Max Differences]]+ABS(Audit[[#This Row],[Canceled Differences]]), Audit[[#This Row],[Max Differences]]), 0)</f>
        <v>0</v>
      </c>
      <c r="AT287" s="114">
        <f>'Sampling Data'!AB287</f>
        <v>8.3433411288793384E-3</v>
      </c>
      <c r="AU287" s="114">
        <f>IF(
      SUM(Audit[[#This Row],[Audit Losing Candidate]:[Audit Candidate 12]])
      &lt;&gt;0,
      (Audit[[#This Row],[Winning Candidate]]-Audit[[#This Row],[Losing Candidate]]-(Audit[[#This Row],[Audit Winning Candidate]]-Audit[[#This Row],[Audit Losing Candidate]]))/(Audit[[#Totals],[Winning Candidate]]-Audit[[#Totals],[Losing Candidate]]),
      0
)</f>
        <v>0</v>
      </c>
      <c r="AV28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7" s="114">
        <f>IF(Audit[[#This Row],[Max Relative Error (ep)]] = 0, 0, Audit[[#This Row],[Max Relative Error (ep)]]/Audit[[#This Row],[Error Bound (up) - Max. possible relative overstatement]])</f>
        <v>0</v>
      </c>
      <c r="BH28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7" s="114">
        <f t="shared" si="5"/>
        <v>1</v>
      </c>
      <c r="BJ287" s="114">
        <f>PRODUCT($BI$5:BI287)</f>
        <v>0.20973752198051165</v>
      </c>
      <c r="BK287" s="112">
        <f>1 - Audit[[#This Row],[K-M P Value]]</f>
        <v>0.79026247801948835</v>
      </c>
      <c r="BL287" s="114" t="str">
        <f>IF(Audit[[#This Row],[K-M P Value]]&gt;1-'General Info'!$B$12,"Continue", "Stop")</f>
        <v>Continue</v>
      </c>
      <c r="BM287" s="113" t="b">
        <f>IF(Audit[[#This Row],[Status - Continue or stop audit]] = "Continue", TRUE, IF(BL286 = "Continue", TRUE, FALSE))</f>
        <v>1</v>
      </c>
      <c r="BN287" s="113"/>
    </row>
    <row r="288" spans="1:66" ht="15" hidden="1" customHeight="1" x14ac:dyDescent="0.35">
      <c r="A288" s="114" t="str">
        <f>'Sampling Data'!AI288</f>
        <v/>
      </c>
      <c r="B288" s="114" t="str">
        <f>'Sampling Data'!A288</f>
        <v>1404 CIN 14-D   (ED)</v>
      </c>
      <c r="C288" s="114">
        <f>'Sampling Data'!B288</f>
        <v>184</v>
      </c>
      <c r="D288" s="114">
        <f>'Sampling Data'!C288</f>
        <v>9</v>
      </c>
      <c r="E288" s="115">
        <f>'Sampling Data'!D288</f>
        <v>2</v>
      </c>
      <c r="F288" s="115">
        <f>'Sampling Data'!E288</f>
        <v>0</v>
      </c>
      <c r="G288" s="115">
        <f>'Sampling Data'!F288</f>
        <v>0</v>
      </c>
      <c r="H288" s="115">
        <f>'Sampling Data'!G288</f>
        <v>0</v>
      </c>
      <c r="I288" s="115">
        <f>'Sampling Data'!H288</f>
        <v>0</v>
      </c>
      <c r="J288" s="115">
        <f>'Sampling Data'!I288</f>
        <v>0</v>
      </c>
      <c r="K288" s="115">
        <f>'Sampling Data'!J288</f>
        <v>0</v>
      </c>
      <c r="L288" s="115">
        <f>'Sampling Data'!K288</f>
        <v>0</v>
      </c>
      <c r="M288" s="115">
        <f>'Sampling Data'!L288</f>
        <v>0</v>
      </c>
      <c r="N288" s="115">
        <f>'Sampling Data'!M288</f>
        <v>0</v>
      </c>
      <c r="O288" s="114">
        <f>'Sampling Data'!N288</f>
        <v>0</v>
      </c>
      <c r="P288" s="114">
        <f>'Sampling Data'!O288</f>
        <v>4</v>
      </c>
      <c r="Q288" s="114">
        <f>'Sampling Data'!P288</f>
        <v>199</v>
      </c>
      <c r="R288" s="114">
        <f>'Sampling Data'!AJ288</f>
        <v>0</v>
      </c>
      <c r="S288" s="116"/>
      <c r="T288" s="116"/>
      <c r="U288" s="117"/>
      <c r="V288" s="117"/>
      <c r="W288" s="116"/>
      <c r="X288" s="116"/>
      <c r="Y288" s="116"/>
      <c r="Z288" s="116"/>
      <c r="AA288" s="15"/>
      <c r="AB288" s="15"/>
      <c r="AC288" s="15"/>
      <c r="AD288" s="15"/>
      <c r="AE288" s="118" t="str">
        <f>IF(NOT(ISBLANK(Audit[[#This Row],[Audit Winning Candidate]])), Audit[[#This Row],[Audit Winning Candidate]]-Audit[[#This Row],[Winning Candidate]], "")</f>
        <v/>
      </c>
      <c r="AF288" s="114" t="str">
        <f>IF(NOT(ISBLANK(Audit[[#This Row],[Audit Losing Candidate]])), Audit[[#This Row],[Audit Losing Candidate]]-Audit[[#This Row],[Losing Candidate]], "")</f>
        <v/>
      </c>
      <c r="AG288" s="114" t="str">
        <f>IF(NOT(ISBLANK(Audit[[#This Row],[Audit Candidate 3]])), Audit[[#This Row],[Audit Candidate 3]]-Audit[[#This Row],[Candidate 3]], "")</f>
        <v/>
      </c>
      <c r="AH288" s="114" t="str">
        <f>IF(NOT(ISBLANK(Audit[[#This Row],[Audit Candidate 4]])),Audit[[#This Row],[Audit Candidate 4]]-Audit[[#This Row],[Candidate 4]], "")</f>
        <v/>
      </c>
      <c r="AI288" s="114" t="str">
        <f>IF(NOT(ISBLANK(Audit[[#This Row],[Audit Candidate 5]])), Audit[[#This Row],[Audit Candidate 5]]-Audit[[#This Row],[Candidate 5]], "")</f>
        <v/>
      </c>
      <c r="AJ288" s="114" t="str">
        <f>IF(NOT(ISBLANK(Audit[[#This Row],[Audit Candidate 6]])), Audit[[#This Row],[Audit Candidate 6]]-Audit[[#This Row],[Candidate 6]], "")</f>
        <v/>
      </c>
      <c r="AK288" s="114" t="str">
        <f>IF(NOT(ISBLANK(Audit[[#This Row],[Audit Candidate 7]])), Audit[[#This Row],[Audit Candidate 7]]-Audit[[#This Row],[Candidate 7]], "")</f>
        <v/>
      </c>
      <c r="AL288" s="114" t="str">
        <f>IF(NOT(ISBLANK(Audit[[#This Row],[Audit Candidate 8]])), Audit[[#This Row],[Audit Candidate 8]]-Audit[[#This Row],[Candidate 8]], "")</f>
        <v/>
      </c>
      <c r="AM288" s="114" t="str">
        <f>IF(NOT(ISBLANK(Audit[[#This Row],[Audit Candidate 9]])), Audit[[#This Row],[Audit Candidate 9]]-Audit[[#This Row],[Candidate 9]], "")</f>
        <v/>
      </c>
      <c r="AN288" s="114" t="str">
        <f>IF(NOT(ISBLANK(Audit[[#This Row],[Audit Candidate 10]])), Audit[[#This Row],[Audit Candidate 10]]-Audit[[#This Row],[Candidate 10]], "")</f>
        <v/>
      </c>
      <c r="AO288" s="114" t="str">
        <f>IF(NOT(ISBLANK(Audit[[#This Row],[Audit Candidate 11]])), Audit[[#This Row],[Audit Candidate 11]]-Audit[[#This Row],[Candidate 11]], "")</f>
        <v/>
      </c>
      <c r="AP288" s="114" t="str">
        <f>IF(NOT(ISBLANK(Audit[[#This Row],[Audit Candidate 12]])), Audit[[#This Row],[Audit Candidate 12]]-Audit[[#This Row],[Candidate 12]], "")</f>
        <v/>
      </c>
      <c r="AQ288" s="114">
        <f>SUMIF(Audit[[#This Row],[Difference Winner]:[Difference Candidate 12]], "&gt;0")</f>
        <v>0</v>
      </c>
      <c r="AR288" s="114">
        <f>SUM(Audit[[#This Row],[Difference Winner]:[Difference Candidate 12]])</f>
        <v>0</v>
      </c>
      <c r="AS288" s="114">
        <f>IF(Audit[[#This Row],[Times p Drawn - With Replacement]]&gt;0, IF(Audit[[#This Row],[Canceled Differences]]&lt;0, Audit[[#This Row],[Max Differences]]+ABS(Audit[[#This Row],[Canceled Differences]]), Audit[[#This Row],[Max Differences]]), 0)</f>
        <v>0</v>
      </c>
      <c r="AT288" s="114">
        <f>'Sampling Data'!AB288</f>
        <v>2.363946653182479E-2</v>
      </c>
      <c r="AU288" s="114">
        <f>IF(
      SUM(Audit[[#This Row],[Audit Losing Candidate]:[Audit Candidate 12]])
      &lt;&gt;0,
      (Audit[[#This Row],[Winning Candidate]]-Audit[[#This Row],[Losing Candidate]]-(Audit[[#This Row],[Audit Winning Candidate]]-Audit[[#This Row],[Audit Losing Candidate]]))/(Audit[[#Totals],[Winning Candidate]]-Audit[[#Totals],[Losing Candidate]]),
      0
)</f>
        <v>0</v>
      </c>
      <c r="AV28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8" s="114">
        <f>IF(Audit[[#This Row],[Max Relative Error (ep)]] = 0, 0, Audit[[#This Row],[Max Relative Error (ep)]]/Audit[[#This Row],[Error Bound (up) - Max. possible relative overstatement]])</f>
        <v>0</v>
      </c>
      <c r="BH28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8" s="114">
        <f t="shared" si="5"/>
        <v>1</v>
      </c>
      <c r="BJ288" s="114">
        <f>PRODUCT($BI$5:BI288)</f>
        <v>0.20973752198051165</v>
      </c>
      <c r="BK288" s="112">
        <f>1 - Audit[[#This Row],[K-M P Value]]</f>
        <v>0.79026247801948835</v>
      </c>
      <c r="BL288" s="114" t="str">
        <f>IF(Audit[[#This Row],[K-M P Value]]&gt;1-'General Info'!$B$12,"Continue", "Stop")</f>
        <v>Continue</v>
      </c>
      <c r="BM288" s="113" t="b">
        <f>IF(Audit[[#This Row],[Status - Continue or stop audit]] = "Continue", TRUE, IF(BL287 = "Continue", TRUE, FALSE))</f>
        <v>1</v>
      </c>
      <c r="BN288" s="113"/>
    </row>
    <row r="289" spans="1:66" ht="15" hidden="1" customHeight="1" x14ac:dyDescent="0.35">
      <c r="A289" s="114" t="str">
        <f>'Sampling Data'!AI289</f>
        <v/>
      </c>
      <c r="B289" s="114" t="str">
        <f>'Sampling Data'!A289</f>
        <v>1405 CIN 14-E   (ED)</v>
      </c>
      <c r="C289" s="114">
        <f>'Sampling Data'!B289</f>
        <v>149</v>
      </c>
      <c r="D289" s="114">
        <f>'Sampling Data'!C289</f>
        <v>14</v>
      </c>
      <c r="E289" s="115">
        <f>'Sampling Data'!D289</f>
        <v>8</v>
      </c>
      <c r="F289" s="115">
        <f>'Sampling Data'!E289</f>
        <v>0</v>
      </c>
      <c r="G289" s="115">
        <f>'Sampling Data'!F289</f>
        <v>0</v>
      </c>
      <c r="H289" s="115">
        <f>'Sampling Data'!G289</f>
        <v>0</v>
      </c>
      <c r="I289" s="115">
        <f>'Sampling Data'!H289</f>
        <v>0</v>
      </c>
      <c r="J289" s="115">
        <f>'Sampling Data'!I289</f>
        <v>0</v>
      </c>
      <c r="K289" s="115">
        <f>'Sampling Data'!J289</f>
        <v>0</v>
      </c>
      <c r="L289" s="115">
        <f>'Sampling Data'!K289</f>
        <v>0</v>
      </c>
      <c r="M289" s="115">
        <f>'Sampling Data'!L289</f>
        <v>0</v>
      </c>
      <c r="N289" s="115">
        <f>'Sampling Data'!M289</f>
        <v>0</v>
      </c>
      <c r="O289" s="114">
        <f>'Sampling Data'!N289</f>
        <v>0</v>
      </c>
      <c r="P289" s="114">
        <f>'Sampling Data'!O289</f>
        <v>0</v>
      </c>
      <c r="Q289" s="114">
        <f>'Sampling Data'!P289</f>
        <v>171</v>
      </c>
      <c r="R289" s="114">
        <f>'Sampling Data'!AJ289</f>
        <v>0</v>
      </c>
      <c r="S289" s="116"/>
      <c r="T289" s="116"/>
      <c r="U289" s="117"/>
      <c r="V289" s="117"/>
      <c r="W289" s="116"/>
      <c r="X289" s="116"/>
      <c r="Y289" s="116"/>
      <c r="Z289" s="116"/>
      <c r="AA289" s="15"/>
      <c r="AB289" s="15"/>
      <c r="AC289" s="15"/>
      <c r="AD289" s="15"/>
      <c r="AE289" s="118" t="str">
        <f>IF(NOT(ISBLANK(Audit[[#This Row],[Audit Winning Candidate]])), Audit[[#This Row],[Audit Winning Candidate]]-Audit[[#This Row],[Winning Candidate]], "")</f>
        <v/>
      </c>
      <c r="AF289" s="114" t="str">
        <f>IF(NOT(ISBLANK(Audit[[#This Row],[Audit Losing Candidate]])), Audit[[#This Row],[Audit Losing Candidate]]-Audit[[#This Row],[Losing Candidate]], "")</f>
        <v/>
      </c>
      <c r="AG289" s="114" t="str">
        <f>IF(NOT(ISBLANK(Audit[[#This Row],[Audit Candidate 3]])), Audit[[#This Row],[Audit Candidate 3]]-Audit[[#This Row],[Candidate 3]], "")</f>
        <v/>
      </c>
      <c r="AH289" s="114" t="str">
        <f>IF(NOT(ISBLANK(Audit[[#This Row],[Audit Candidate 4]])),Audit[[#This Row],[Audit Candidate 4]]-Audit[[#This Row],[Candidate 4]], "")</f>
        <v/>
      </c>
      <c r="AI289" s="114" t="str">
        <f>IF(NOT(ISBLANK(Audit[[#This Row],[Audit Candidate 5]])), Audit[[#This Row],[Audit Candidate 5]]-Audit[[#This Row],[Candidate 5]], "")</f>
        <v/>
      </c>
      <c r="AJ289" s="114" t="str">
        <f>IF(NOT(ISBLANK(Audit[[#This Row],[Audit Candidate 6]])), Audit[[#This Row],[Audit Candidate 6]]-Audit[[#This Row],[Candidate 6]], "")</f>
        <v/>
      </c>
      <c r="AK289" s="114" t="str">
        <f>IF(NOT(ISBLANK(Audit[[#This Row],[Audit Candidate 7]])), Audit[[#This Row],[Audit Candidate 7]]-Audit[[#This Row],[Candidate 7]], "")</f>
        <v/>
      </c>
      <c r="AL289" s="114" t="str">
        <f>IF(NOT(ISBLANK(Audit[[#This Row],[Audit Candidate 8]])), Audit[[#This Row],[Audit Candidate 8]]-Audit[[#This Row],[Candidate 8]], "")</f>
        <v/>
      </c>
      <c r="AM289" s="114" t="str">
        <f>IF(NOT(ISBLANK(Audit[[#This Row],[Audit Candidate 9]])), Audit[[#This Row],[Audit Candidate 9]]-Audit[[#This Row],[Candidate 9]], "")</f>
        <v/>
      </c>
      <c r="AN289" s="114" t="str">
        <f>IF(NOT(ISBLANK(Audit[[#This Row],[Audit Candidate 10]])), Audit[[#This Row],[Audit Candidate 10]]-Audit[[#This Row],[Candidate 10]], "")</f>
        <v/>
      </c>
      <c r="AO289" s="114" t="str">
        <f>IF(NOT(ISBLANK(Audit[[#This Row],[Audit Candidate 11]])), Audit[[#This Row],[Audit Candidate 11]]-Audit[[#This Row],[Candidate 11]], "")</f>
        <v/>
      </c>
      <c r="AP289" s="114" t="str">
        <f>IF(NOT(ISBLANK(Audit[[#This Row],[Audit Candidate 12]])), Audit[[#This Row],[Audit Candidate 12]]-Audit[[#This Row],[Candidate 12]], "")</f>
        <v/>
      </c>
      <c r="AQ289" s="114">
        <f>SUMIF(Audit[[#This Row],[Difference Winner]:[Difference Candidate 12]], "&gt;0")</f>
        <v>0</v>
      </c>
      <c r="AR289" s="114">
        <f>SUM(Audit[[#This Row],[Difference Winner]:[Difference Candidate 12]])</f>
        <v>0</v>
      </c>
      <c r="AS289" s="114">
        <f>IF(Audit[[#This Row],[Times p Drawn - With Replacement]]&gt;0, IF(Audit[[#This Row],[Canceled Differences]]&lt;0, Audit[[#This Row],[Max Differences]]+ABS(Audit[[#This Row],[Canceled Differences]]), Audit[[#This Row],[Max Differences]]), 0)</f>
        <v>0</v>
      </c>
      <c r="AT289" s="114">
        <f>'Sampling Data'!AB289</f>
        <v>1.9341381707856646E-2</v>
      </c>
      <c r="AU289" s="114">
        <f>IF(
      SUM(Audit[[#This Row],[Audit Losing Candidate]:[Audit Candidate 12]])
      &lt;&gt;0,
      (Audit[[#This Row],[Winning Candidate]]-Audit[[#This Row],[Losing Candidate]]-(Audit[[#This Row],[Audit Winning Candidate]]-Audit[[#This Row],[Audit Losing Candidate]]))/(Audit[[#Totals],[Winning Candidate]]-Audit[[#Totals],[Losing Candidate]]),
      0
)</f>
        <v>0</v>
      </c>
      <c r="AV28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9" s="114">
        <f>IF(Audit[[#This Row],[Max Relative Error (ep)]] = 0, 0, Audit[[#This Row],[Max Relative Error (ep)]]/Audit[[#This Row],[Error Bound (up) - Max. possible relative overstatement]])</f>
        <v>0</v>
      </c>
      <c r="BH28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89" s="114">
        <f t="shared" si="5"/>
        <v>1</v>
      </c>
      <c r="BJ289" s="114">
        <f>PRODUCT($BI$5:BI289)</f>
        <v>0.20973752198051165</v>
      </c>
      <c r="BK289" s="112">
        <f>1 - Audit[[#This Row],[K-M P Value]]</f>
        <v>0.79026247801948835</v>
      </c>
      <c r="BL289" s="114" t="str">
        <f>IF(Audit[[#This Row],[K-M P Value]]&gt;1-'General Info'!$B$12,"Continue", "Stop")</f>
        <v>Continue</v>
      </c>
      <c r="BM289" s="113" t="b">
        <f>IF(Audit[[#This Row],[Status - Continue or stop audit]] = "Continue", TRUE, IF(BL288 = "Continue", TRUE, FALSE))</f>
        <v>1</v>
      </c>
      <c r="BN289" s="113"/>
    </row>
    <row r="290" spans="1:66" ht="15" hidden="1" customHeight="1" x14ac:dyDescent="0.35">
      <c r="A290" s="114" t="str">
        <f>'Sampling Data'!AI290</f>
        <v/>
      </c>
      <c r="B290" s="114" t="str">
        <f>'Sampling Data'!A290</f>
        <v>1406 CIN 14-F   (ED)</v>
      </c>
      <c r="C290" s="114">
        <f>'Sampling Data'!B290</f>
        <v>156</v>
      </c>
      <c r="D290" s="114">
        <f>'Sampling Data'!C290</f>
        <v>5</v>
      </c>
      <c r="E290" s="115">
        <f>'Sampling Data'!D290</f>
        <v>7</v>
      </c>
      <c r="F290" s="115">
        <f>'Sampling Data'!E290</f>
        <v>0</v>
      </c>
      <c r="G290" s="115">
        <f>'Sampling Data'!F290</f>
        <v>0</v>
      </c>
      <c r="H290" s="115">
        <f>'Sampling Data'!G290</f>
        <v>0</v>
      </c>
      <c r="I290" s="115">
        <f>'Sampling Data'!H290</f>
        <v>0</v>
      </c>
      <c r="J290" s="115">
        <f>'Sampling Data'!I290</f>
        <v>0</v>
      </c>
      <c r="K290" s="115">
        <f>'Sampling Data'!J290</f>
        <v>0</v>
      </c>
      <c r="L290" s="115">
        <f>'Sampling Data'!K290</f>
        <v>0</v>
      </c>
      <c r="M290" s="115">
        <f>'Sampling Data'!L290</f>
        <v>0</v>
      </c>
      <c r="N290" s="115">
        <f>'Sampling Data'!M290</f>
        <v>0</v>
      </c>
      <c r="O290" s="114">
        <f>'Sampling Data'!N290</f>
        <v>0</v>
      </c>
      <c r="P290" s="114">
        <f>'Sampling Data'!O290</f>
        <v>0</v>
      </c>
      <c r="Q290" s="114">
        <f>'Sampling Data'!P290</f>
        <v>168</v>
      </c>
      <c r="R290" s="114">
        <f>'Sampling Data'!AJ290</f>
        <v>0</v>
      </c>
      <c r="S290" s="116"/>
      <c r="T290" s="116"/>
      <c r="U290" s="117"/>
      <c r="V290" s="117"/>
      <c r="W290" s="116"/>
      <c r="X290" s="116"/>
      <c r="Y290" s="116"/>
      <c r="Z290" s="116"/>
      <c r="AA290" s="15"/>
      <c r="AB290" s="15"/>
      <c r="AC290" s="15"/>
      <c r="AD290" s="15"/>
      <c r="AE290" s="118" t="str">
        <f>IF(NOT(ISBLANK(Audit[[#This Row],[Audit Winning Candidate]])), Audit[[#This Row],[Audit Winning Candidate]]-Audit[[#This Row],[Winning Candidate]], "")</f>
        <v/>
      </c>
      <c r="AF290" s="114" t="str">
        <f>IF(NOT(ISBLANK(Audit[[#This Row],[Audit Losing Candidate]])), Audit[[#This Row],[Audit Losing Candidate]]-Audit[[#This Row],[Losing Candidate]], "")</f>
        <v/>
      </c>
      <c r="AG290" s="114" t="str">
        <f>IF(NOT(ISBLANK(Audit[[#This Row],[Audit Candidate 3]])), Audit[[#This Row],[Audit Candidate 3]]-Audit[[#This Row],[Candidate 3]], "")</f>
        <v/>
      </c>
      <c r="AH290" s="114" t="str">
        <f>IF(NOT(ISBLANK(Audit[[#This Row],[Audit Candidate 4]])),Audit[[#This Row],[Audit Candidate 4]]-Audit[[#This Row],[Candidate 4]], "")</f>
        <v/>
      </c>
      <c r="AI290" s="114" t="str">
        <f>IF(NOT(ISBLANK(Audit[[#This Row],[Audit Candidate 5]])), Audit[[#This Row],[Audit Candidate 5]]-Audit[[#This Row],[Candidate 5]], "")</f>
        <v/>
      </c>
      <c r="AJ290" s="114" t="str">
        <f>IF(NOT(ISBLANK(Audit[[#This Row],[Audit Candidate 6]])), Audit[[#This Row],[Audit Candidate 6]]-Audit[[#This Row],[Candidate 6]], "")</f>
        <v/>
      </c>
      <c r="AK290" s="114" t="str">
        <f>IF(NOT(ISBLANK(Audit[[#This Row],[Audit Candidate 7]])), Audit[[#This Row],[Audit Candidate 7]]-Audit[[#This Row],[Candidate 7]], "")</f>
        <v/>
      </c>
      <c r="AL290" s="114" t="str">
        <f>IF(NOT(ISBLANK(Audit[[#This Row],[Audit Candidate 8]])), Audit[[#This Row],[Audit Candidate 8]]-Audit[[#This Row],[Candidate 8]], "")</f>
        <v/>
      </c>
      <c r="AM290" s="114" t="str">
        <f>IF(NOT(ISBLANK(Audit[[#This Row],[Audit Candidate 9]])), Audit[[#This Row],[Audit Candidate 9]]-Audit[[#This Row],[Candidate 9]], "")</f>
        <v/>
      </c>
      <c r="AN290" s="114" t="str">
        <f>IF(NOT(ISBLANK(Audit[[#This Row],[Audit Candidate 10]])), Audit[[#This Row],[Audit Candidate 10]]-Audit[[#This Row],[Candidate 10]], "")</f>
        <v/>
      </c>
      <c r="AO290" s="114" t="str">
        <f>IF(NOT(ISBLANK(Audit[[#This Row],[Audit Candidate 11]])), Audit[[#This Row],[Audit Candidate 11]]-Audit[[#This Row],[Candidate 11]], "")</f>
        <v/>
      </c>
      <c r="AP290" s="114" t="str">
        <f>IF(NOT(ISBLANK(Audit[[#This Row],[Audit Candidate 12]])), Audit[[#This Row],[Audit Candidate 12]]-Audit[[#This Row],[Candidate 12]], "")</f>
        <v/>
      </c>
      <c r="AQ290" s="114">
        <f>SUMIF(Audit[[#This Row],[Difference Winner]:[Difference Candidate 12]], "&gt;0")</f>
        <v>0</v>
      </c>
      <c r="AR290" s="114">
        <f>SUM(Audit[[#This Row],[Difference Winner]:[Difference Candidate 12]])</f>
        <v>0</v>
      </c>
      <c r="AS290" s="114">
        <f>IF(Audit[[#This Row],[Times p Drawn - With Replacement]]&gt;0, IF(Audit[[#This Row],[Canceled Differences]]&lt;0, Audit[[#This Row],[Max Differences]]+ABS(Audit[[#This Row],[Canceled Differences]]), Audit[[#This Row],[Max Differences]]), 0)</f>
        <v>0</v>
      </c>
      <c r="AT290" s="114">
        <f>'Sampling Data'!AB290</f>
        <v>2.0163074394791734E-2</v>
      </c>
      <c r="AU290" s="114">
        <f>IF(
      SUM(Audit[[#This Row],[Audit Losing Candidate]:[Audit Candidate 12]])
      &lt;&gt;0,
      (Audit[[#This Row],[Winning Candidate]]-Audit[[#This Row],[Losing Candidate]]-(Audit[[#This Row],[Audit Winning Candidate]]-Audit[[#This Row],[Audit Losing Candidate]]))/(Audit[[#Totals],[Winning Candidate]]-Audit[[#Totals],[Losing Candidate]]),
      0
)</f>
        <v>0</v>
      </c>
      <c r="AV29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0" s="114">
        <f>IF(Audit[[#This Row],[Max Relative Error (ep)]] = 0, 0, Audit[[#This Row],[Max Relative Error (ep)]]/Audit[[#This Row],[Error Bound (up) - Max. possible relative overstatement]])</f>
        <v>0</v>
      </c>
      <c r="BH29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0" s="114">
        <f t="shared" si="5"/>
        <v>1</v>
      </c>
      <c r="BJ290" s="114">
        <f>PRODUCT($BI$5:BI290)</f>
        <v>0.20973752198051165</v>
      </c>
      <c r="BK290" s="112">
        <f>1 - Audit[[#This Row],[K-M P Value]]</f>
        <v>0.79026247801948835</v>
      </c>
      <c r="BL290" s="114" t="str">
        <f>IF(Audit[[#This Row],[K-M P Value]]&gt;1-'General Info'!$B$12,"Continue", "Stop")</f>
        <v>Continue</v>
      </c>
      <c r="BM290" s="113" t="b">
        <f>IF(Audit[[#This Row],[Status - Continue or stop audit]] = "Continue", TRUE, IF(BL289 = "Continue", TRUE, FALSE))</f>
        <v>1</v>
      </c>
      <c r="BN290" s="113"/>
    </row>
    <row r="291" spans="1:66" ht="15" hidden="1" customHeight="1" x14ac:dyDescent="0.35">
      <c r="A291" s="114" t="str">
        <f>'Sampling Data'!AI291</f>
        <v/>
      </c>
      <c r="B291" s="114" t="str">
        <f>'Sampling Data'!A291</f>
        <v>1407 CIN 14-G   (ED)</v>
      </c>
      <c r="C291" s="114">
        <f>'Sampling Data'!B291</f>
        <v>174</v>
      </c>
      <c r="D291" s="114">
        <f>'Sampling Data'!C291</f>
        <v>13</v>
      </c>
      <c r="E291" s="115">
        <f>'Sampling Data'!D291</f>
        <v>14</v>
      </c>
      <c r="F291" s="115">
        <f>'Sampling Data'!E291</f>
        <v>0</v>
      </c>
      <c r="G291" s="115">
        <f>'Sampling Data'!F291</f>
        <v>0</v>
      </c>
      <c r="H291" s="115">
        <f>'Sampling Data'!G291</f>
        <v>0</v>
      </c>
      <c r="I291" s="115">
        <f>'Sampling Data'!H291</f>
        <v>0</v>
      </c>
      <c r="J291" s="115">
        <f>'Sampling Data'!I291</f>
        <v>0</v>
      </c>
      <c r="K291" s="115">
        <f>'Sampling Data'!J291</f>
        <v>0</v>
      </c>
      <c r="L291" s="115">
        <f>'Sampling Data'!K291</f>
        <v>0</v>
      </c>
      <c r="M291" s="115">
        <f>'Sampling Data'!L291</f>
        <v>0</v>
      </c>
      <c r="N291" s="115">
        <f>'Sampling Data'!M291</f>
        <v>0</v>
      </c>
      <c r="O291" s="114">
        <f>'Sampling Data'!N291</f>
        <v>0</v>
      </c>
      <c r="P291" s="114">
        <f>'Sampling Data'!O291</f>
        <v>2</v>
      </c>
      <c r="Q291" s="114">
        <f>'Sampling Data'!P291</f>
        <v>203</v>
      </c>
      <c r="R291" s="114">
        <f>'Sampling Data'!AJ291</f>
        <v>0</v>
      </c>
      <c r="S291" s="116"/>
      <c r="T291" s="116"/>
      <c r="U291" s="117"/>
      <c r="V291" s="117"/>
      <c r="W291" s="116"/>
      <c r="X291" s="116"/>
      <c r="Y291" s="116"/>
      <c r="Z291" s="116"/>
      <c r="AA291" s="15"/>
      <c r="AB291" s="15"/>
      <c r="AC291" s="15"/>
      <c r="AD291" s="15"/>
      <c r="AE291" s="118" t="str">
        <f>IF(NOT(ISBLANK(Audit[[#This Row],[Audit Winning Candidate]])), Audit[[#This Row],[Audit Winning Candidate]]-Audit[[#This Row],[Winning Candidate]], "")</f>
        <v/>
      </c>
      <c r="AF291" s="114" t="str">
        <f>IF(NOT(ISBLANK(Audit[[#This Row],[Audit Losing Candidate]])), Audit[[#This Row],[Audit Losing Candidate]]-Audit[[#This Row],[Losing Candidate]], "")</f>
        <v/>
      </c>
      <c r="AG291" s="114" t="str">
        <f>IF(NOT(ISBLANK(Audit[[#This Row],[Audit Candidate 3]])), Audit[[#This Row],[Audit Candidate 3]]-Audit[[#This Row],[Candidate 3]], "")</f>
        <v/>
      </c>
      <c r="AH291" s="114" t="str">
        <f>IF(NOT(ISBLANK(Audit[[#This Row],[Audit Candidate 4]])),Audit[[#This Row],[Audit Candidate 4]]-Audit[[#This Row],[Candidate 4]], "")</f>
        <v/>
      </c>
      <c r="AI291" s="114" t="str">
        <f>IF(NOT(ISBLANK(Audit[[#This Row],[Audit Candidate 5]])), Audit[[#This Row],[Audit Candidate 5]]-Audit[[#This Row],[Candidate 5]], "")</f>
        <v/>
      </c>
      <c r="AJ291" s="114" t="str">
        <f>IF(NOT(ISBLANK(Audit[[#This Row],[Audit Candidate 6]])), Audit[[#This Row],[Audit Candidate 6]]-Audit[[#This Row],[Candidate 6]], "")</f>
        <v/>
      </c>
      <c r="AK291" s="114" t="str">
        <f>IF(NOT(ISBLANK(Audit[[#This Row],[Audit Candidate 7]])), Audit[[#This Row],[Audit Candidate 7]]-Audit[[#This Row],[Candidate 7]], "")</f>
        <v/>
      </c>
      <c r="AL291" s="114" t="str">
        <f>IF(NOT(ISBLANK(Audit[[#This Row],[Audit Candidate 8]])), Audit[[#This Row],[Audit Candidate 8]]-Audit[[#This Row],[Candidate 8]], "")</f>
        <v/>
      </c>
      <c r="AM291" s="114" t="str">
        <f>IF(NOT(ISBLANK(Audit[[#This Row],[Audit Candidate 9]])), Audit[[#This Row],[Audit Candidate 9]]-Audit[[#This Row],[Candidate 9]], "")</f>
        <v/>
      </c>
      <c r="AN291" s="114" t="str">
        <f>IF(NOT(ISBLANK(Audit[[#This Row],[Audit Candidate 10]])), Audit[[#This Row],[Audit Candidate 10]]-Audit[[#This Row],[Candidate 10]], "")</f>
        <v/>
      </c>
      <c r="AO291" s="114" t="str">
        <f>IF(NOT(ISBLANK(Audit[[#This Row],[Audit Candidate 11]])), Audit[[#This Row],[Audit Candidate 11]]-Audit[[#This Row],[Candidate 11]], "")</f>
        <v/>
      </c>
      <c r="AP291" s="114" t="str">
        <f>IF(NOT(ISBLANK(Audit[[#This Row],[Audit Candidate 12]])), Audit[[#This Row],[Audit Candidate 12]]-Audit[[#This Row],[Candidate 12]], "")</f>
        <v/>
      </c>
      <c r="AQ291" s="114">
        <f>SUMIF(Audit[[#This Row],[Difference Winner]:[Difference Candidate 12]], "&gt;0")</f>
        <v>0</v>
      </c>
      <c r="AR291" s="114">
        <f>SUM(Audit[[#This Row],[Difference Winner]:[Difference Candidate 12]])</f>
        <v>0</v>
      </c>
      <c r="AS291" s="114">
        <f>IF(Audit[[#This Row],[Times p Drawn - With Replacement]]&gt;0, IF(Audit[[#This Row],[Canceled Differences]]&lt;0, Audit[[#This Row],[Max Differences]]+ABS(Audit[[#This Row],[Canceled Differences]]), Audit[[#This Row],[Max Differences]]), 0)</f>
        <v>0</v>
      </c>
      <c r="AT291" s="114">
        <f>'Sampling Data'!AB291</f>
        <v>2.3007395234182416E-2</v>
      </c>
      <c r="AU291" s="114">
        <f>IF(
      SUM(Audit[[#This Row],[Audit Losing Candidate]:[Audit Candidate 12]])
      &lt;&gt;0,
      (Audit[[#This Row],[Winning Candidate]]-Audit[[#This Row],[Losing Candidate]]-(Audit[[#This Row],[Audit Winning Candidate]]-Audit[[#This Row],[Audit Losing Candidate]]))/(Audit[[#Totals],[Winning Candidate]]-Audit[[#Totals],[Losing Candidate]]),
      0
)</f>
        <v>0</v>
      </c>
      <c r="AV29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1" s="114">
        <f>IF(Audit[[#This Row],[Max Relative Error (ep)]] = 0, 0, Audit[[#This Row],[Max Relative Error (ep)]]/Audit[[#This Row],[Error Bound (up) - Max. possible relative overstatement]])</f>
        <v>0</v>
      </c>
      <c r="BH29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1" s="114">
        <f t="shared" si="5"/>
        <v>1</v>
      </c>
      <c r="BJ291" s="114">
        <f>PRODUCT($BI$5:BI291)</f>
        <v>0.20973752198051165</v>
      </c>
      <c r="BK291" s="112">
        <f>1 - Audit[[#This Row],[K-M P Value]]</f>
        <v>0.79026247801948835</v>
      </c>
      <c r="BL291" s="114" t="str">
        <f>IF(Audit[[#This Row],[K-M P Value]]&gt;1-'General Info'!$B$12,"Continue", "Stop")</f>
        <v>Continue</v>
      </c>
      <c r="BM291" s="113" t="b">
        <f>IF(Audit[[#This Row],[Status - Continue or stop audit]] = "Continue", TRUE, IF(BL290 = "Continue", TRUE, FALSE))</f>
        <v>1</v>
      </c>
      <c r="BN291" s="113"/>
    </row>
    <row r="292" spans="1:66" ht="15" hidden="1" customHeight="1" x14ac:dyDescent="0.35">
      <c r="A292" s="114" t="str">
        <f>'Sampling Data'!AI292</f>
        <v/>
      </c>
      <c r="B292" s="114" t="str">
        <f>'Sampling Data'!A292</f>
        <v>1408 CIN 14-H   (ED)</v>
      </c>
      <c r="C292" s="114">
        <f>'Sampling Data'!B292</f>
        <v>145</v>
      </c>
      <c r="D292" s="114">
        <f>'Sampling Data'!C292</f>
        <v>8</v>
      </c>
      <c r="E292" s="115">
        <f>'Sampling Data'!D292</f>
        <v>7</v>
      </c>
      <c r="F292" s="115">
        <f>'Sampling Data'!E292</f>
        <v>0</v>
      </c>
      <c r="G292" s="115">
        <f>'Sampling Data'!F292</f>
        <v>0</v>
      </c>
      <c r="H292" s="115">
        <f>'Sampling Data'!G292</f>
        <v>0</v>
      </c>
      <c r="I292" s="115">
        <f>'Sampling Data'!H292</f>
        <v>0</v>
      </c>
      <c r="J292" s="115">
        <f>'Sampling Data'!I292</f>
        <v>0</v>
      </c>
      <c r="K292" s="115">
        <f>'Sampling Data'!J292</f>
        <v>0</v>
      </c>
      <c r="L292" s="115">
        <f>'Sampling Data'!K292</f>
        <v>0</v>
      </c>
      <c r="M292" s="115">
        <f>'Sampling Data'!L292</f>
        <v>0</v>
      </c>
      <c r="N292" s="115">
        <f>'Sampling Data'!M292</f>
        <v>0</v>
      </c>
      <c r="O292" s="114">
        <f>'Sampling Data'!N292</f>
        <v>0</v>
      </c>
      <c r="P292" s="114">
        <f>'Sampling Data'!O292</f>
        <v>2</v>
      </c>
      <c r="Q292" s="114">
        <f>'Sampling Data'!P292</f>
        <v>162</v>
      </c>
      <c r="R292" s="114">
        <f>'Sampling Data'!AJ292</f>
        <v>0</v>
      </c>
      <c r="S292" s="116"/>
      <c r="T292" s="116"/>
      <c r="U292" s="117"/>
      <c r="V292" s="117"/>
      <c r="W292" s="116"/>
      <c r="X292" s="116"/>
      <c r="Y292" s="116"/>
      <c r="Z292" s="116"/>
      <c r="AA292" s="15"/>
      <c r="AB292" s="15"/>
      <c r="AC292" s="15"/>
      <c r="AD292" s="15"/>
      <c r="AE292" s="118" t="str">
        <f>IF(NOT(ISBLANK(Audit[[#This Row],[Audit Winning Candidate]])), Audit[[#This Row],[Audit Winning Candidate]]-Audit[[#This Row],[Winning Candidate]], "")</f>
        <v/>
      </c>
      <c r="AF292" s="114" t="str">
        <f>IF(NOT(ISBLANK(Audit[[#This Row],[Audit Losing Candidate]])), Audit[[#This Row],[Audit Losing Candidate]]-Audit[[#This Row],[Losing Candidate]], "")</f>
        <v/>
      </c>
      <c r="AG292" s="114" t="str">
        <f>IF(NOT(ISBLANK(Audit[[#This Row],[Audit Candidate 3]])), Audit[[#This Row],[Audit Candidate 3]]-Audit[[#This Row],[Candidate 3]], "")</f>
        <v/>
      </c>
      <c r="AH292" s="114" t="str">
        <f>IF(NOT(ISBLANK(Audit[[#This Row],[Audit Candidate 4]])),Audit[[#This Row],[Audit Candidate 4]]-Audit[[#This Row],[Candidate 4]], "")</f>
        <v/>
      </c>
      <c r="AI292" s="114" t="str">
        <f>IF(NOT(ISBLANK(Audit[[#This Row],[Audit Candidate 5]])), Audit[[#This Row],[Audit Candidate 5]]-Audit[[#This Row],[Candidate 5]], "")</f>
        <v/>
      </c>
      <c r="AJ292" s="114" t="str">
        <f>IF(NOT(ISBLANK(Audit[[#This Row],[Audit Candidate 6]])), Audit[[#This Row],[Audit Candidate 6]]-Audit[[#This Row],[Candidate 6]], "")</f>
        <v/>
      </c>
      <c r="AK292" s="114" t="str">
        <f>IF(NOT(ISBLANK(Audit[[#This Row],[Audit Candidate 7]])), Audit[[#This Row],[Audit Candidate 7]]-Audit[[#This Row],[Candidate 7]], "")</f>
        <v/>
      </c>
      <c r="AL292" s="114" t="str">
        <f>IF(NOT(ISBLANK(Audit[[#This Row],[Audit Candidate 8]])), Audit[[#This Row],[Audit Candidate 8]]-Audit[[#This Row],[Candidate 8]], "")</f>
        <v/>
      </c>
      <c r="AM292" s="114" t="str">
        <f>IF(NOT(ISBLANK(Audit[[#This Row],[Audit Candidate 9]])), Audit[[#This Row],[Audit Candidate 9]]-Audit[[#This Row],[Candidate 9]], "")</f>
        <v/>
      </c>
      <c r="AN292" s="114" t="str">
        <f>IF(NOT(ISBLANK(Audit[[#This Row],[Audit Candidate 10]])), Audit[[#This Row],[Audit Candidate 10]]-Audit[[#This Row],[Candidate 10]], "")</f>
        <v/>
      </c>
      <c r="AO292" s="114" t="str">
        <f>IF(NOT(ISBLANK(Audit[[#This Row],[Audit Candidate 11]])), Audit[[#This Row],[Audit Candidate 11]]-Audit[[#This Row],[Candidate 11]], "")</f>
        <v/>
      </c>
      <c r="AP292" s="114" t="str">
        <f>IF(NOT(ISBLANK(Audit[[#This Row],[Audit Candidate 12]])), Audit[[#This Row],[Audit Candidate 12]]-Audit[[#This Row],[Candidate 12]], "")</f>
        <v/>
      </c>
      <c r="AQ292" s="114">
        <f>SUMIF(Audit[[#This Row],[Difference Winner]:[Difference Candidate 12]], "&gt;0")</f>
        <v>0</v>
      </c>
      <c r="AR292" s="114">
        <f>SUM(Audit[[#This Row],[Difference Winner]:[Difference Candidate 12]])</f>
        <v>0</v>
      </c>
      <c r="AS292" s="114">
        <f>IF(Audit[[#This Row],[Times p Drawn - With Replacement]]&gt;0, IF(Audit[[#This Row],[Canceled Differences]]&lt;0, Audit[[#This Row],[Max Differences]]+ABS(Audit[[#This Row],[Canceled Differences]]), Audit[[#This Row],[Max Differences]]), 0)</f>
        <v>0</v>
      </c>
      <c r="AT292" s="114">
        <f>'Sampling Data'!AB292</f>
        <v>1.8898931799506986E-2</v>
      </c>
      <c r="AU292" s="114">
        <f>IF(
      SUM(Audit[[#This Row],[Audit Losing Candidate]:[Audit Candidate 12]])
      &lt;&gt;0,
      (Audit[[#This Row],[Winning Candidate]]-Audit[[#This Row],[Losing Candidate]]-(Audit[[#This Row],[Audit Winning Candidate]]-Audit[[#This Row],[Audit Losing Candidate]]))/(Audit[[#Totals],[Winning Candidate]]-Audit[[#Totals],[Losing Candidate]]),
      0
)</f>
        <v>0</v>
      </c>
      <c r="AV29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2" s="114">
        <f>IF(Audit[[#This Row],[Max Relative Error (ep)]] = 0, 0, Audit[[#This Row],[Max Relative Error (ep)]]/Audit[[#This Row],[Error Bound (up) - Max. possible relative overstatement]])</f>
        <v>0</v>
      </c>
      <c r="BH29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2" s="114">
        <f t="shared" si="5"/>
        <v>1</v>
      </c>
      <c r="BJ292" s="114">
        <f>PRODUCT($BI$5:BI292)</f>
        <v>0.20973752198051165</v>
      </c>
      <c r="BK292" s="112">
        <f>1 - Audit[[#This Row],[K-M P Value]]</f>
        <v>0.79026247801948835</v>
      </c>
      <c r="BL292" s="114" t="str">
        <f>IF(Audit[[#This Row],[K-M P Value]]&gt;1-'General Info'!$B$12,"Continue", "Stop")</f>
        <v>Continue</v>
      </c>
      <c r="BM292" s="113" t="b">
        <f>IF(Audit[[#This Row],[Status - Continue or stop audit]] = "Continue", TRUE, IF(BL291 = "Continue", TRUE, FALSE))</f>
        <v>1</v>
      </c>
      <c r="BN292" s="113"/>
    </row>
    <row r="293" spans="1:66" ht="15" hidden="1" customHeight="1" x14ac:dyDescent="0.35">
      <c r="A293" s="114" t="str">
        <f>'Sampling Data'!AI293</f>
        <v/>
      </c>
      <c r="B293" s="114" t="str">
        <f>'Sampling Data'!A293</f>
        <v>1409 CIN 14-I   (ED)</v>
      </c>
      <c r="C293" s="114">
        <f>'Sampling Data'!B293</f>
        <v>132</v>
      </c>
      <c r="D293" s="114">
        <f>'Sampling Data'!C293</f>
        <v>9</v>
      </c>
      <c r="E293" s="115">
        <f>'Sampling Data'!D293</f>
        <v>2</v>
      </c>
      <c r="F293" s="115">
        <f>'Sampling Data'!E293</f>
        <v>0</v>
      </c>
      <c r="G293" s="115">
        <f>'Sampling Data'!F293</f>
        <v>0</v>
      </c>
      <c r="H293" s="115">
        <f>'Sampling Data'!G293</f>
        <v>0</v>
      </c>
      <c r="I293" s="115">
        <f>'Sampling Data'!H293</f>
        <v>0</v>
      </c>
      <c r="J293" s="115">
        <f>'Sampling Data'!I293</f>
        <v>0</v>
      </c>
      <c r="K293" s="115">
        <f>'Sampling Data'!J293</f>
        <v>0</v>
      </c>
      <c r="L293" s="115">
        <f>'Sampling Data'!K293</f>
        <v>0</v>
      </c>
      <c r="M293" s="115">
        <f>'Sampling Data'!L293</f>
        <v>0</v>
      </c>
      <c r="N293" s="115">
        <f>'Sampling Data'!M293</f>
        <v>0</v>
      </c>
      <c r="O293" s="114">
        <f>'Sampling Data'!N293</f>
        <v>0</v>
      </c>
      <c r="P293" s="114">
        <f>'Sampling Data'!O293</f>
        <v>2</v>
      </c>
      <c r="Q293" s="114">
        <f>'Sampling Data'!P293</f>
        <v>145</v>
      </c>
      <c r="R293" s="114">
        <f>'Sampling Data'!AJ293</f>
        <v>0</v>
      </c>
      <c r="S293" s="116"/>
      <c r="T293" s="116"/>
      <c r="U293" s="117"/>
      <c r="V293" s="117"/>
      <c r="W293" s="116"/>
      <c r="X293" s="116"/>
      <c r="Y293" s="116"/>
      <c r="Z293" s="116"/>
      <c r="AA293" s="15"/>
      <c r="AB293" s="15"/>
      <c r="AC293" s="15"/>
      <c r="AD293" s="15"/>
      <c r="AE293" s="118" t="str">
        <f>IF(NOT(ISBLANK(Audit[[#This Row],[Audit Winning Candidate]])), Audit[[#This Row],[Audit Winning Candidate]]-Audit[[#This Row],[Winning Candidate]], "")</f>
        <v/>
      </c>
      <c r="AF293" s="114" t="str">
        <f>IF(NOT(ISBLANK(Audit[[#This Row],[Audit Losing Candidate]])), Audit[[#This Row],[Audit Losing Candidate]]-Audit[[#This Row],[Losing Candidate]], "")</f>
        <v/>
      </c>
      <c r="AG293" s="114" t="str">
        <f>IF(NOT(ISBLANK(Audit[[#This Row],[Audit Candidate 3]])), Audit[[#This Row],[Audit Candidate 3]]-Audit[[#This Row],[Candidate 3]], "")</f>
        <v/>
      </c>
      <c r="AH293" s="114" t="str">
        <f>IF(NOT(ISBLANK(Audit[[#This Row],[Audit Candidate 4]])),Audit[[#This Row],[Audit Candidate 4]]-Audit[[#This Row],[Candidate 4]], "")</f>
        <v/>
      </c>
      <c r="AI293" s="114" t="str">
        <f>IF(NOT(ISBLANK(Audit[[#This Row],[Audit Candidate 5]])), Audit[[#This Row],[Audit Candidate 5]]-Audit[[#This Row],[Candidate 5]], "")</f>
        <v/>
      </c>
      <c r="AJ293" s="114" t="str">
        <f>IF(NOT(ISBLANK(Audit[[#This Row],[Audit Candidate 6]])), Audit[[#This Row],[Audit Candidate 6]]-Audit[[#This Row],[Candidate 6]], "")</f>
        <v/>
      </c>
      <c r="AK293" s="114" t="str">
        <f>IF(NOT(ISBLANK(Audit[[#This Row],[Audit Candidate 7]])), Audit[[#This Row],[Audit Candidate 7]]-Audit[[#This Row],[Candidate 7]], "")</f>
        <v/>
      </c>
      <c r="AL293" s="114" t="str">
        <f>IF(NOT(ISBLANK(Audit[[#This Row],[Audit Candidate 8]])), Audit[[#This Row],[Audit Candidate 8]]-Audit[[#This Row],[Candidate 8]], "")</f>
        <v/>
      </c>
      <c r="AM293" s="114" t="str">
        <f>IF(NOT(ISBLANK(Audit[[#This Row],[Audit Candidate 9]])), Audit[[#This Row],[Audit Candidate 9]]-Audit[[#This Row],[Candidate 9]], "")</f>
        <v/>
      </c>
      <c r="AN293" s="114" t="str">
        <f>IF(NOT(ISBLANK(Audit[[#This Row],[Audit Candidate 10]])), Audit[[#This Row],[Audit Candidate 10]]-Audit[[#This Row],[Candidate 10]], "")</f>
        <v/>
      </c>
      <c r="AO293" s="114" t="str">
        <f>IF(NOT(ISBLANK(Audit[[#This Row],[Audit Candidate 11]])), Audit[[#This Row],[Audit Candidate 11]]-Audit[[#This Row],[Candidate 11]], "")</f>
        <v/>
      </c>
      <c r="AP293" s="114" t="str">
        <f>IF(NOT(ISBLANK(Audit[[#This Row],[Audit Candidate 12]])), Audit[[#This Row],[Audit Candidate 12]]-Audit[[#This Row],[Candidate 12]], "")</f>
        <v/>
      </c>
      <c r="AQ293" s="114">
        <f>SUMIF(Audit[[#This Row],[Difference Winner]:[Difference Candidate 12]], "&gt;0")</f>
        <v>0</v>
      </c>
      <c r="AR293" s="114">
        <f>SUM(Audit[[#This Row],[Difference Winner]:[Difference Candidate 12]])</f>
        <v>0</v>
      </c>
      <c r="AS293" s="114">
        <f>IF(Audit[[#This Row],[Times p Drawn - With Replacement]]&gt;0, IF(Audit[[#This Row],[Canceled Differences]]&lt;0, Audit[[#This Row],[Max Differences]]+ABS(Audit[[#This Row],[Canceled Differences]]), Audit[[#This Row],[Max Differences]]), 0)</f>
        <v>0</v>
      </c>
      <c r="AT293" s="114">
        <f>'Sampling Data'!AB293</f>
        <v>1.6939510776815624E-2</v>
      </c>
      <c r="AU293" s="114">
        <f>IF(
      SUM(Audit[[#This Row],[Audit Losing Candidate]:[Audit Candidate 12]])
      &lt;&gt;0,
      (Audit[[#This Row],[Winning Candidate]]-Audit[[#This Row],[Losing Candidate]]-(Audit[[#This Row],[Audit Winning Candidate]]-Audit[[#This Row],[Audit Losing Candidate]]))/(Audit[[#Totals],[Winning Candidate]]-Audit[[#Totals],[Losing Candidate]]),
      0
)</f>
        <v>0</v>
      </c>
      <c r="AV29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3" s="114">
        <f>IF(Audit[[#This Row],[Max Relative Error (ep)]] = 0, 0, Audit[[#This Row],[Max Relative Error (ep)]]/Audit[[#This Row],[Error Bound (up) - Max. possible relative overstatement]])</f>
        <v>0</v>
      </c>
      <c r="BH29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3" s="114">
        <f t="shared" si="5"/>
        <v>1</v>
      </c>
      <c r="BJ293" s="114">
        <f>PRODUCT($BI$5:BI293)</f>
        <v>0.20973752198051165</v>
      </c>
      <c r="BK293" s="112">
        <f>1 - Audit[[#This Row],[K-M P Value]]</f>
        <v>0.79026247801948835</v>
      </c>
      <c r="BL293" s="114" t="str">
        <f>IF(Audit[[#This Row],[K-M P Value]]&gt;1-'General Info'!$B$12,"Continue", "Stop")</f>
        <v>Continue</v>
      </c>
      <c r="BM293" s="113" t="b">
        <f>IF(Audit[[#This Row],[Status - Continue or stop audit]] = "Continue", TRUE, IF(BL292 = "Continue", TRUE, FALSE))</f>
        <v>1</v>
      </c>
      <c r="BN293" s="113"/>
    </row>
    <row r="294" spans="1:66" ht="15" hidden="1" customHeight="1" x14ac:dyDescent="0.35">
      <c r="A294" s="114" t="str">
        <f>'Sampling Data'!AI294</f>
        <v/>
      </c>
      <c r="B294" s="114" t="str">
        <f>'Sampling Data'!A294</f>
        <v>1501 CIN 15-A   (ED)</v>
      </c>
      <c r="C294" s="114">
        <f>'Sampling Data'!B294</f>
        <v>206</v>
      </c>
      <c r="D294" s="114">
        <f>'Sampling Data'!C294</f>
        <v>8</v>
      </c>
      <c r="E294" s="115">
        <f>'Sampling Data'!D294</f>
        <v>4</v>
      </c>
      <c r="F294" s="115">
        <f>'Sampling Data'!E294</f>
        <v>0</v>
      </c>
      <c r="G294" s="115">
        <f>'Sampling Data'!F294</f>
        <v>0</v>
      </c>
      <c r="H294" s="115">
        <f>'Sampling Data'!G294</f>
        <v>0</v>
      </c>
      <c r="I294" s="115">
        <f>'Sampling Data'!H294</f>
        <v>0</v>
      </c>
      <c r="J294" s="115">
        <f>'Sampling Data'!I294</f>
        <v>0</v>
      </c>
      <c r="K294" s="115">
        <f>'Sampling Data'!J294</f>
        <v>0</v>
      </c>
      <c r="L294" s="115">
        <f>'Sampling Data'!K294</f>
        <v>0</v>
      </c>
      <c r="M294" s="115">
        <f>'Sampling Data'!L294</f>
        <v>0</v>
      </c>
      <c r="N294" s="115">
        <f>'Sampling Data'!M294</f>
        <v>0</v>
      </c>
      <c r="O294" s="114">
        <f>'Sampling Data'!N294</f>
        <v>0</v>
      </c>
      <c r="P294" s="114">
        <f>'Sampling Data'!O294</f>
        <v>0</v>
      </c>
      <c r="Q294" s="114">
        <f>'Sampling Data'!P294</f>
        <v>218</v>
      </c>
      <c r="R294" s="114">
        <f>'Sampling Data'!AJ294</f>
        <v>0</v>
      </c>
      <c r="S294" s="116"/>
      <c r="T294" s="116"/>
      <c r="U294" s="117"/>
      <c r="V294" s="117"/>
      <c r="W294" s="116"/>
      <c r="X294" s="116"/>
      <c r="Y294" s="116"/>
      <c r="Z294" s="116"/>
      <c r="AA294" s="15"/>
      <c r="AB294" s="15"/>
      <c r="AC294" s="15"/>
      <c r="AD294" s="15"/>
      <c r="AE294" s="118" t="str">
        <f>IF(NOT(ISBLANK(Audit[[#This Row],[Audit Winning Candidate]])), Audit[[#This Row],[Audit Winning Candidate]]-Audit[[#This Row],[Winning Candidate]], "")</f>
        <v/>
      </c>
      <c r="AF294" s="114" t="str">
        <f>IF(NOT(ISBLANK(Audit[[#This Row],[Audit Losing Candidate]])), Audit[[#This Row],[Audit Losing Candidate]]-Audit[[#This Row],[Losing Candidate]], "")</f>
        <v/>
      </c>
      <c r="AG294" s="114" t="str">
        <f>IF(NOT(ISBLANK(Audit[[#This Row],[Audit Candidate 3]])), Audit[[#This Row],[Audit Candidate 3]]-Audit[[#This Row],[Candidate 3]], "")</f>
        <v/>
      </c>
      <c r="AH294" s="114" t="str">
        <f>IF(NOT(ISBLANK(Audit[[#This Row],[Audit Candidate 4]])),Audit[[#This Row],[Audit Candidate 4]]-Audit[[#This Row],[Candidate 4]], "")</f>
        <v/>
      </c>
      <c r="AI294" s="114" t="str">
        <f>IF(NOT(ISBLANK(Audit[[#This Row],[Audit Candidate 5]])), Audit[[#This Row],[Audit Candidate 5]]-Audit[[#This Row],[Candidate 5]], "")</f>
        <v/>
      </c>
      <c r="AJ294" s="114" t="str">
        <f>IF(NOT(ISBLANK(Audit[[#This Row],[Audit Candidate 6]])), Audit[[#This Row],[Audit Candidate 6]]-Audit[[#This Row],[Candidate 6]], "")</f>
        <v/>
      </c>
      <c r="AK294" s="114" t="str">
        <f>IF(NOT(ISBLANK(Audit[[#This Row],[Audit Candidate 7]])), Audit[[#This Row],[Audit Candidate 7]]-Audit[[#This Row],[Candidate 7]], "")</f>
        <v/>
      </c>
      <c r="AL294" s="114" t="str">
        <f>IF(NOT(ISBLANK(Audit[[#This Row],[Audit Candidate 8]])), Audit[[#This Row],[Audit Candidate 8]]-Audit[[#This Row],[Candidate 8]], "")</f>
        <v/>
      </c>
      <c r="AM294" s="114" t="str">
        <f>IF(NOT(ISBLANK(Audit[[#This Row],[Audit Candidate 9]])), Audit[[#This Row],[Audit Candidate 9]]-Audit[[#This Row],[Candidate 9]], "")</f>
        <v/>
      </c>
      <c r="AN294" s="114" t="str">
        <f>IF(NOT(ISBLANK(Audit[[#This Row],[Audit Candidate 10]])), Audit[[#This Row],[Audit Candidate 10]]-Audit[[#This Row],[Candidate 10]], "")</f>
        <v/>
      </c>
      <c r="AO294" s="114" t="str">
        <f>IF(NOT(ISBLANK(Audit[[#This Row],[Audit Candidate 11]])), Audit[[#This Row],[Audit Candidate 11]]-Audit[[#This Row],[Candidate 11]], "")</f>
        <v/>
      </c>
      <c r="AP294" s="114" t="str">
        <f>IF(NOT(ISBLANK(Audit[[#This Row],[Audit Candidate 12]])), Audit[[#This Row],[Audit Candidate 12]]-Audit[[#This Row],[Candidate 12]], "")</f>
        <v/>
      </c>
      <c r="AQ294" s="114">
        <f>SUMIF(Audit[[#This Row],[Difference Winner]:[Difference Candidate 12]], "&gt;0")</f>
        <v>0</v>
      </c>
      <c r="AR294" s="114">
        <f>SUM(Audit[[#This Row],[Difference Winner]:[Difference Candidate 12]])</f>
        <v>0</v>
      </c>
      <c r="AS294" s="114">
        <f>IF(Audit[[#This Row],[Times p Drawn - With Replacement]]&gt;0, IF(Audit[[#This Row],[Canceled Differences]]&lt;0, Audit[[#This Row],[Max Differences]]+ABS(Audit[[#This Row],[Canceled Differences]]), Audit[[#This Row],[Max Differences]]), 0)</f>
        <v>0</v>
      </c>
      <c r="AT294" s="114">
        <f>'Sampling Data'!AB294</f>
        <v>2.629416598192276E-2</v>
      </c>
      <c r="AU294" s="114">
        <f>IF(
      SUM(Audit[[#This Row],[Audit Losing Candidate]:[Audit Candidate 12]])
      &lt;&gt;0,
      (Audit[[#This Row],[Winning Candidate]]-Audit[[#This Row],[Losing Candidate]]-(Audit[[#This Row],[Audit Winning Candidate]]-Audit[[#This Row],[Audit Losing Candidate]]))/(Audit[[#Totals],[Winning Candidate]]-Audit[[#Totals],[Losing Candidate]]),
      0
)</f>
        <v>0</v>
      </c>
      <c r="AV29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4" s="114">
        <f>IF(Audit[[#This Row],[Max Relative Error (ep)]] = 0, 0, Audit[[#This Row],[Max Relative Error (ep)]]/Audit[[#This Row],[Error Bound (up) - Max. possible relative overstatement]])</f>
        <v>0</v>
      </c>
      <c r="BH29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4" s="114">
        <f t="shared" si="5"/>
        <v>1</v>
      </c>
      <c r="BJ294" s="114">
        <f>PRODUCT($BI$5:BI294)</f>
        <v>0.20973752198051165</v>
      </c>
      <c r="BK294" s="112">
        <f>1 - Audit[[#This Row],[K-M P Value]]</f>
        <v>0.79026247801948835</v>
      </c>
      <c r="BL294" s="114" t="str">
        <f>IF(Audit[[#This Row],[K-M P Value]]&gt;1-'General Info'!$B$12,"Continue", "Stop")</f>
        <v>Continue</v>
      </c>
      <c r="BM294" s="113" t="b">
        <f>IF(Audit[[#This Row],[Status - Continue or stop audit]] = "Continue", TRUE, IF(BL293 = "Continue", TRUE, FALSE))</f>
        <v>1</v>
      </c>
      <c r="BN294" s="113"/>
    </row>
    <row r="295" spans="1:66" ht="15" hidden="1" customHeight="1" x14ac:dyDescent="0.35">
      <c r="A295" s="114" t="str">
        <f>'Sampling Data'!AI295</f>
        <v/>
      </c>
      <c r="B295" s="114" t="str">
        <f>'Sampling Data'!A295</f>
        <v>1502 CIN 15-B   (ED)</v>
      </c>
      <c r="C295" s="114">
        <f>'Sampling Data'!B295</f>
        <v>174</v>
      </c>
      <c r="D295" s="114">
        <f>'Sampling Data'!C295</f>
        <v>14</v>
      </c>
      <c r="E295" s="115">
        <f>'Sampling Data'!D295</f>
        <v>5</v>
      </c>
      <c r="F295" s="115">
        <f>'Sampling Data'!E295</f>
        <v>0</v>
      </c>
      <c r="G295" s="115">
        <f>'Sampling Data'!F295</f>
        <v>0</v>
      </c>
      <c r="H295" s="115">
        <f>'Sampling Data'!G295</f>
        <v>0</v>
      </c>
      <c r="I295" s="115">
        <f>'Sampling Data'!H295</f>
        <v>0</v>
      </c>
      <c r="J295" s="115">
        <f>'Sampling Data'!I295</f>
        <v>0</v>
      </c>
      <c r="K295" s="115">
        <f>'Sampling Data'!J295</f>
        <v>0</v>
      </c>
      <c r="L295" s="115">
        <f>'Sampling Data'!K295</f>
        <v>0</v>
      </c>
      <c r="M295" s="115">
        <f>'Sampling Data'!L295</f>
        <v>0</v>
      </c>
      <c r="N295" s="115">
        <f>'Sampling Data'!M295</f>
        <v>0</v>
      </c>
      <c r="O295" s="114">
        <f>'Sampling Data'!N295</f>
        <v>0</v>
      </c>
      <c r="P295" s="114">
        <f>'Sampling Data'!O295</f>
        <v>0</v>
      </c>
      <c r="Q295" s="114">
        <f>'Sampling Data'!P295</f>
        <v>193</v>
      </c>
      <c r="R295" s="114">
        <f>'Sampling Data'!AJ295</f>
        <v>0</v>
      </c>
      <c r="S295" s="116"/>
      <c r="T295" s="116"/>
      <c r="U295" s="117"/>
      <c r="V295" s="117"/>
      <c r="W295" s="116"/>
      <c r="X295" s="116"/>
      <c r="Y295" s="116"/>
      <c r="Z295" s="116"/>
      <c r="AA295" s="15"/>
      <c r="AB295" s="15"/>
      <c r="AC295" s="15"/>
      <c r="AD295" s="15"/>
      <c r="AE295" s="118" t="str">
        <f>IF(NOT(ISBLANK(Audit[[#This Row],[Audit Winning Candidate]])), Audit[[#This Row],[Audit Winning Candidate]]-Audit[[#This Row],[Winning Candidate]], "")</f>
        <v/>
      </c>
      <c r="AF295" s="114" t="str">
        <f>IF(NOT(ISBLANK(Audit[[#This Row],[Audit Losing Candidate]])), Audit[[#This Row],[Audit Losing Candidate]]-Audit[[#This Row],[Losing Candidate]], "")</f>
        <v/>
      </c>
      <c r="AG295" s="114" t="str">
        <f>IF(NOT(ISBLANK(Audit[[#This Row],[Audit Candidate 3]])), Audit[[#This Row],[Audit Candidate 3]]-Audit[[#This Row],[Candidate 3]], "")</f>
        <v/>
      </c>
      <c r="AH295" s="114" t="str">
        <f>IF(NOT(ISBLANK(Audit[[#This Row],[Audit Candidate 4]])),Audit[[#This Row],[Audit Candidate 4]]-Audit[[#This Row],[Candidate 4]], "")</f>
        <v/>
      </c>
      <c r="AI295" s="114" t="str">
        <f>IF(NOT(ISBLANK(Audit[[#This Row],[Audit Candidate 5]])), Audit[[#This Row],[Audit Candidate 5]]-Audit[[#This Row],[Candidate 5]], "")</f>
        <v/>
      </c>
      <c r="AJ295" s="114" t="str">
        <f>IF(NOT(ISBLANK(Audit[[#This Row],[Audit Candidate 6]])), Audit[[#This Row],[Audit Candidate 6]]-Audit[[#This Row],[Candidate 6]], "")</f>
        <v/>
      </c>
      <c r="AK295" s="114" t="str">
        <f>IF(NOT(ISBLANK(Audit[[#This Row],[Audit Candidate 7]])), Audit[[#This Row],[Audit Candidate 7]]-Audit[[#This Row],[Candidate 7]], "")</f>
        <v/>
      </c>
      <c r="AL295" s="114" t="str">
        <f>IF(NOT(ISBLANK(Audit[[#This Row],[Audit Candidate 8]])), Audit[[#This Row],[Audit Candidate 8]]-Audit[[#This Row],[Candidate 8]], "")</f>
        <v/>
      </c>
      <c r="AM295" s="114" t="str">
        <f>IF(NOT(ISBLANK(Audit[[#This Row],[Audit Candidate 9]])), Audit[[#This Row],[Audit Candidate 9]]-Audit[[#This Row],[Candidate 9]], "")</f>
        <v/>
      </c>
      <c r="AN295" s="114" t="str">
        <f>IF(NOT(ISBLANK(Audit[[#This Row],[Audit Candidate 10]])), Audit[[#This Row],[Audit Candidate 10]]-Audit[[#This Row],[Candidate 10]], "")</f>
        <v/>
      </c>
      <c r="AO295" s="114" t="str">
        <f>IF(NOT(ISBLANK(Audit[[#This Row],[Audit Candidate 11]])), Audit[[#This Row],[Audit Candidate 11]]-Audit[[#This Row],[Candidate 11]], "")</f>
        <v/>
      </c>
      <c r="AP295" s="114" t="str">
        <f>IF(NOT(ISBLANK(Audit[[#This Row],[Audit Candidate 12]])), Audit[[#This Row],[Audit Candidate 12]]-Audit[[#This Row],[Candidate 12]], "")</f>
        <v/>
      </c>
      <c r="AQ295" s="114">
        <f>SUMIF(Audit[[#This Row],[Difference Winner]:[Difference Candidate 12]], "&gt;0")</f>
        <v>0</v>
      </c>
      <c r="AR295" s="114">
        <f>SUM(Audit[[#This Row],[Difference Winner]:[Difference Candidate 12]])</f>
        <v>0</v>
      </c>
      <c r="AS295" s="114">
        <f>IF(Audit[[#This Row],[Times p Drawn - With Replacement]]&gt;0, IF(Audit[[#This Row],[Canceled Differences]]&lt;0, Audit[[#This Row],[Max Differences]]+ABS(Audit[[#This Row],[Canceled Differences]]), Audit[[#This Row],[Max Differences]]), 0)</f>
        <v>0</v>
      </c>
      <c r="AT295" s="114">
        <f>'Sampling Data'!AB295</f>
        <v>2.2312116806775806E-2</v>
      </c>
      <c r="AU295" s="114">
        <f>IF(
      SUM(Audit[[#This Row],[Audit Losing Candidate]:[Audit Candidate 12]])
      &lt;&gt;0,
      (Audit[[#This Row],[Winning Candidate]]-Audit[[#This Row],[Losing Candidate]]-(Audit[[#This Row],[Audit Winning Candidate]]-Audit[[#This Row],[Audit Losing Candidate]]))/(Audit[[#Totals],[Winning Candidate]]-Audit[[#Totals],[Losing Candidate]]),
      0
)</f>
        <v>0</v>
      </c>
      <c r="AV29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5" s="114">
        <f>IF(Audit[[#This Row],[Max Relative Error (ep)]] = 0, 0, Audit[[#This Row],[Max Relative Error (ep)]]/Audit[[#This Row],[Error Bound (up) - Max. possible relative overstatement]])</f>
        <v>0</v>
      </c>
      <c r="BH29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5" s="114">
        <f t="shared" si="5"/>
        <v>1</v>
      </c>
      <c r="BJ295" s="114">
        <f>PRODUCT($BI$5:BI295)</f>
        <v>0.20973752198051165</v>
      </c>
      <c r="BK295" s="112">
        <f>1 - Audit[[#This Row],[K-M P Value]]</f>
        <v>0.79026247801948835</v>
      </c>
      <c r="BL295" s="114" t="str">
        <f>IF(Audit[[#This Row],[K-M P Value]]&gt;1-'General Info'!$B$12,"Continue", "Stop")</f>
        <v>Continue</v>
      </c>
      <c r="BM295" s="113" t="b">
        <f>IF(Audit[[#This Row],[Status - Continue or stop audit]] = "Continue", TRUE, IF(BL294 = "Continue", TRUE, FALSE))</f>
        <v>1</v>
      </c>
      <c r="BN295" s="113"/>
    </row>
    <row r="296" spans="1:66" ht="15" hidden="1" customHeight="1" x14ac:dyDescent="0.35">
      <c r="A296" s="114" t="str">
        <f>'Sampling Data'!AI296</f>
        <v/>
      </c>
      <c r="B296" s="114" t="str">
        <f>'Sampling Data'!A296</f>
        <v>1503 CIN 15-C   (ED)</v>
      </c>
      <c r="C296" s="114">
        <f>'Sampling Data'!B296</f>
        <v>41</v>
      </c>
      <c r="D296" s="114">
        <f>'Sampling Data'!C296</f>
        <v>1</v>
      </c>
      <c r="E296" s="115">
        <f>'Sampling Data'!D296</f>
        <v>1</v>
      </c>
      <c r="F296" s="115">
        <f>'Sampling Data'!E296</f>
        <v>0</v>
      </c>
      <c r="G296" s="115">
        <f>'Sampling Data'!F296</f>
        <v>0</v>
      </c>
      <c r="H296" s="115">
        <f>'Sampling Data'!G296</f>
        <v>0</v>
      </c>
      <c r="I296" s="115">
        <f>'Sampling Data'!H296</f>
        <v>0</v>
      </c>
      <c r="J296" s="115">
        <f>'Sampling Data'!I296</f>
        <v>0</v>
      </c>
      <c r="K296" s="115">
        <f>'Sampling Data'!J296</f>
        <v>0</v>
      </c>
      <c r="L296" s="115">
        <f>'Sampling Data'!K296</f>
        <v>0</v>
      </c>
      <c r="M296" s="115">
        <f>'Sampling Data'!L296</f>
        <v>0</v>
      </c>
      <c r="N296" s="115">
        <f>'Sampling Data'!M296</f>
        <v>0</v>
      </c>
      <c r="O296" s="114">
        <f>'Sampling Data'!N296</f>
        <v>0</v>
      </c>
      <c r="P296" s="114">
        <f>'Sampling Data'!O296</f>
        <v>0</v>
      </c>
      <c r="Q296" s="114">
        <f>'Sampling Data'!P296</f>
        <v>43</v>
      </c>
      <c r="R296" s="114">
        <f>'Sampling Data'!AJ296</f>
        <v>0</v>
      </c>
      <c r="S296" s="116"/>
      <c r="T296" s="116"/>
      <c r="U296" s="117"/>
      <c r="V296" s="117"/>
      <c r="W296" s="116"/>
      <c r="X296" s="116"/>
      <c r="Y296" s="116"/>
      <c r="Z296" s="116"/>
      <c r="AA296" s="15"/>
      <c r="AB296" s="15"/>
      <c r="AC296" s="15"/>
      <c r="AD296" s="15"/>
      <c r="AE296" s="118" t="str">
        <f>IF(NOT(ISBLANK(Audit[[#This Row],[Audit Winning Candidate]])), Audit[[#This Row],[Audit Winning Candidate]]-Audit[[#This Row],[Winning Candidate]], "")</f>
        <v/>
      </c>
      <c r="AF296" s="114" t="str">
        <f>IF(NOT(ISBLANK(Audit[[#This Row],[Audit Losing Candidate]])), Audit[[#This Row],[Audit Losing Candidate]]-Audit[[#This Row],[Losing Candidate]], "")</f>
        <v/>
      </c>
      <c r="AG296" s="114" t="str">
        <f>IF(NOT(ISBLANK(Audit[[#This Row],[Audit Candidate 3]])), Audit[[#This Row],[Audit Candidate 3]]-Audit[[#This Row],[Candidate 3]], "")</f>
        <v/>
      </c>
      <c r="AH296" s="114" t="str">
        <f>IF(NOT(ISBLANK(Audit[[#This Row],[Audit Candidate 4]])),Audit[[#This Row],[Audit Candidate 4]]-Audit[[#This Row],[Candidate 4]], "")</f>
        <v/>
      </c>
      <c r="AI296" s="114" t="str">
        <f>IF(NOT(ISBLANK(Audit[[#This Row],[Audit Candidate 5]])), Audit[[#This Row],[Audit Candidate 5]]-Audit[[#This Row],[Candidate 5]], "")</f>
        <v/>
      </c>
      <c r="AJ296" s="114" t="str">
        <f>IF(NOT(ISBLANK(Audit[[#This Row],[Audit Candidate 6]])), Audit[[#This Row],[Audit Candidate 6]]-Audit[[#This Row],[Candidate 6]], "")</f>
        <v/>
      </c>
      <c r="AK296" s="114" t="str">
        <f>IF(NOT(ISBLANK(Audit[[#This Row],[Audit Candidate 7]])), Audit[[#This Row],[Audit Candidate 7]]-Audit[[#This Row],[Candidate 7]], "")</f>
        <v/>
      </c>
      <c r="AL296" s="114" t="str">
        <f>IF(NOT(ISBLANK(Audit[[#This Row],[Audit Candidate 8]])), Audit[[#This Row],[Audit Candidate 8]]-Audit[[#This Row],[Candidate 8]], "")</f>
        <v/>
      </c>
      <c r="AM296" s="114" t="str">
        <f>IF(NOT(ISBLANK(Audit[[#This Row],[Audit Candidate 9]])), Audit[[#This Row],[Audit Candidate 9]]-Audit[[#This Row],[Candidate 9]], "")</f>
        <v/>
      </c>
      <c r="AN296" s="114" t="str">
        <f>IF(NOT(ISBLANK(Audit[[#This Row],[Audit Candidate 10]])), Audit[[#This Row],[Audit Candidate 10]]-Audit[[#This Row],[Candidate 10]], "")</f>
        <v/>
      </c>
      <c r="AO296" s="114" t="str">
        <f>IF(NOT(ISBLANK(Audit[[#This Row],[Audit Candidate 11]])), Audit[[#This Row],[Audit Candidate 11]]-Audit[[#This Row],[Candidate 11]], "")</f>
        <v/>
      </c>
      <c r="AP296" s="114" t="str">
        <f>IF(NOT(ISBLANK(Audit[[#This Row],[Audit Candidate 12]])), Audit[[#This Row],[Audit Candidate 12]]-Audit[[#This Row],[Candidate 12]], "")</f>
        <v/>
      </c>
      <c r="AQ296" s="114">
        <f>SUMIF(Audit[[#This Row],[Difference Winner]:[Difference Candidate 12]], "&gt;0")</f>
        <v>0</v>
      </c>
      <c r="AR296" s="114">
        <f>SUM(Audit[[#This Row],[Difference Winner]:[Difference Candidate 12]])</f>
        <v>0</v>
      </c>
      <c r="AS296" s="114">
        <f>IF(Audit[[#This Row],[Times p Drawn - With Replacement]]&gt;0, IF(Audit[[#This Row],[Canceled Differences]]&lt;0, Audit[[#This Row],[Max Differences]]+ABS(Audit[[#This Row],[Canceled Differences]]), Audit[[#This Row],[Max Differences]]), 0)</f>
        <v>0</v>
      </c>
      <c r="AT296" s="114">
        <f>'Sampling Data'!AB296</f>
        <v>5.2461917704317044E-3</v>
      </c>
      <c r="AU296" s="114">
        <f>IF(
      SUM(Audit[[#This Row],[Audit Losing Candidate]:[Audit Candidate 12]])
      &lt;&gt;0,
      (Audit[[#This Row],[Winning Candidate]]-Audit[[#This Row],[Losing Candidate]]-(Audit[[#This Row],[Audit Winning Candidate]]-Audit[[#This Row],[Audit Losing Candidate]]))/(Audit[[#Totals],[Winning Candidate]]-Audit[[#Totals],[Losing Candidate]]),
      0
)</f>
        <v>0</v>
      </c>
      <c r="AV29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6" s="114">
        <f>IF(Audit[[#This Row],[Max Relative Error (ep)]] = 0, 0, Audit[[#This Row],[Max Relative Error (ep)]]/Audit[[#This Row],[Error Bound (up) - Max. possible relative overstatement]])</f>
        <v>0</v>
      </c>
      <c r="BH29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6" s="114">
        <f t="shared" si="5"/>
        <v>1</v>
      </c>
      <c r="BJ296" s="114">
        <f>PRODUCT($BI$5:BI296)</f>
        <v>0.20973752198051165</v>
      </c>
      <c r="BK296" s="112">
        <f>1 - Audit[[#This Row],[K-M P Value]]</f>
        <v>0.79026247801948835</v>
      </c>
      <c r="BL296" s="114" t="str">
        <f>IF(Audit[[#This Row],[K-M P Value]]&gt;1-'General Info'!$B$12,"Continue", "Stop")</f>
        <v>Continue</v>
      </c>
      <c r="BM296" s="113" t="b">
        <f>IF(Audit[[#This Row],[Status - Continue or stop audit]] = "Continue", TRUE, IF(BL295 = "Continue", TRUE, FALSE))</f>
        <v>1</v>
      </c>
      <c r="BN296" s="113"/>
    </row>
    <row r="297" spans="1:66" ht="15" hidden="1" customHeight="1" x14ac:dyDescent="0.35">
      <c r="A297" s="114" t="str">
        <f>'Sampling Data'!AI297</f>
        <v/>
      </c>
      <c r="B297" s="114" t="str">
        <f>'Sampling Data'!A297</f>
        <v>1504 CIN 15-D   (ED)</v>
      </c>
      <c r="C297" s="114">
        <f>'Sampling Data'!B297</f>
        <v>70</v>
      </c>
      <c r="D297" s="114">
        <f>'Sampling Data'!C297</f>
        <v>5</v>
      </c>
      <c r="E297" s="115">
        <f>'Sampling Data'!D297</f>
        <v>0</v>
      </c>
      <c r="F297" s="115">
        <f>'Sampling Data'!E297</f>
        <v>0</v>
      </c>
      <c r="G297" s="115">
        <f>'Sampling Data'!F297</f>
        <v>0</v>
      </c>
      <c r="H297" s="115">
        <f>'Sampling Data'!G297</f>
        <v>0</v>
      </c>
      <c r="I297" s="115">
        <f>'Sampling Data'!H297</f>
        <v>0</v>
      </c>
      <c r="J297" s="115">
        <f>'Sampling Data'!I297</f>
        <v>0</v>
      </c>
      <c r="K297" s="115">
        <f>'Sampling Data'!J297</f>
        <v>0</v>
      </c>
      <c r="L297" s="115">
        <f>'Sampling Data'!K297</f>
        <v>0</v>
      </c>
      <c r="M297" s="115">
        <f>'Sampling Data'!L297</f>
        <v>0</v>
      </c>
      <c r="N297" s="115">
        <f>'Sampling Data'!M297</f>
        <v>0</v>
      </c>
      <c r="O297" s="114">
        <f>'Sampling Data'!N297</f>
        <v>0</v>
      </c>
      <c r="P297" s="114">
        <f>'Sampling Data'!O297</f>
        <v>1</v>
      </c>
      <c r="Q297" s="114">
        <f>'Sampling Data'!P297</f>
        <v>76</v>
      </c>
      <c r="R297" s="114">
        <f>'Sampling Data'!AJ297</f>
        <v>0</v>
      </c>
      <c r="S297" s="116"/>
      <c r="T297" s="116"/>
      <c r="U297" s="117"/>
      <c r="V297" s="117"/>
      <c r="W297" s="116"/>
      <c r="X297" s="116"/>
      <c r="Y297" s="116"/>
      <c r="Z297" s="116"/>
      <c r="AA297" s="15"/>
      <c r="AB297" s="15"/>
      <c r="AC297" s="15"/>
      <c r="AD297" s="15"/>
      <c r="AE297" s="118" t="str">
        <f>IF(NOT(ISBLANK(Audit[[#This Row],[Audit Winning Candidate]])), Audit[[#This Row],[Audit Winning Candidate]]-Audit[[#This Row],[Winning Candidate]], "")</f>
        <v/>
      </c>
      <c r="AF297" s="114" t="str">
        <f>IF(NOT(ISBLANK(Audit[[#This Row],[Audit Losing Candidate]])), Audit[[#This Row],[Audit Losing Candidate]]-Audit[[#This Row],[Losing Candidate]], "")</f>
        <v/>
      </c>
      <c r="AG297" s="114" t="str">
        <f>IF(NOT(ISBLANK(Audit[[#This Row],[Audit Candidate 3]])), Audit[[#This Row],[Audit Candidate 3]]-Audit[[#This Row],[Candidate 3]], "")</f>
        <v/>
      </c>
      <c r="AH297" s="114" t="str">
        <f>IF(NOT(ISBLANK(Audit[[#This Row],[Audit Candidate 4]])),Audit[[#This Row],[Audit Candidate 4]]-Audit[[#This Row],[Candidate 4]], "")</f>
        <v/>
      </c>
      <c r="AI297" s="114" t="str">
        <f>IF(NOT(ISBLANK(Audit[[#This Row],[Audit Candidate 5]])), Audit[[#This Row],[Audit Candidate 5]]-Audit[[#This Row],[Candidate 5]], "")</f>
        <v/>
      </c>
      <c r="AJ297" s="114" t="str">
        <f>IF(NOT(ISBLANK(Audit[[#This Row],[Audit Candidate 6]])), Audit[[#This Row],[Audit Candidate 6]]-Audit[[#This Row],[Candidate 6]], "")</f>
        <v/>
      </c>
      <c r="AK297" s="114" t="str">
        <f>IF(NOT(ISBLANK(Audit[[#This Row],[Audit Candidate 7]])), Audit[[#This Row],[Audit Candidate 7]]-Audit[[#This Row],[Candidate 7]], "")</f>
        <v/>
      </c>
      <c r="AL297" s="114" t="str">
        <f>IF(NOT(ISBLANK(Audit[[#This Row],[Audit Candidate 8]])), Audit[[#This Row],[Audit Candidate 8]]-Audit[[#This Row],[Candidate 8]], "")</f>
        <v/>
      </c>
      <c r="AM297" s="114" t="str">
        <f>IF(NOT(ISBLANK(Audit[[#This Row],[Audit Candidate 9]])), Audit[[#This Row],[Audit Candidate 9]]-Audit[[#This Row],[Candidate 9]], "")</f>
        <v/>
      </c>
      <c r="AN297" s="114" t="str">
        <f>IF(NOT(ISBLANK(Audit[[#This Row],[Audit Candidate 10]])), Audit[[#This Row],[Audit Candidate 10]]-Audit[[#This Row],[Candidate 10]], "")</f>
        <v/>
      </c>
      <c r="AO297" s="114" t="str">
        <f>IF(NOT(ISBLANK(Audit[[#This Row],[Audit Candidate 11]])), Audit[[#This Row],[Audit Candidate 11]]-Audit[[#This Row],[Candidate 11]], "")</f>
        <v/>
      </c>
      <c r="AP297" s="114" t="str">
        <f>IF(NOT(ISBLANK(Audit[[#This Row],[Audit Candidate 12]])), Audit[[#This Row],[Audit Candidate 12]]-Audit[[#This Row],[Candidate 12]], "")</f>
        <v/>
      </c>
      <c r="AQ297" s="114">
        <f>SUMIF(Audit[[#This Row],[Difference Winner]:[Difference Candidate 12]], "&gt;0")</f>
        <v>0</v>
      </c>
      <c r="AR297" s="114">
        <f>SUM(Audit[[#This Row],[Difference Winner]:[Difference Candidate 12]])</f>
        <v>0</v>
      </c>
      <c r="AS297" s="114">
        <f>IF(Audit[[#This Row],[Times p Drawn - With Replacement]]&gt;0, IF(Audit[[#This Row],[Canceled Differences]]&lt;0, Audit[[#This Row],[Max Differences]]+ABS(Audit[[#This Row],[Canceled Differences]]), Audit[[#This Row],[Max Differences]]), 0)</f>
        <v>0</v>
      </c>
      <c r="AT297" s="114">
        <f>'Sampling Data'!AB297</f>
        <v>8.9122052967574739E-3</v>
      </c>
      <c r="AU297" s="114">
        <f>IF(
      SUM(Audit[[#This Row],[Audit Losing Candidate]:[Audit Candidate 12]])
      &lt;&gt;0,
      (Audit[[#This Row],[Winning Candidate]]-Audit[[#This Row],[Losing Candidate]]-(Audit[[#This Row],[Audit Winning Candidate]]-Audit[[#This Row],[Audit Losing Candidate]]))/(Audit[[#Totals],[Winning Candidate]]-Audit[[#Totals],[Losing Candidate]]),
      0
)</f>
        <v>0</v>
      </c>
      <c r="AV29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7" s="114">
        <f>IF(Audit[[#This Row],[Max Relative Error (ep)]] = 0, 0, Audit[[#This Row],[Max Relative Error (ep)]]/Audit[[#This Row],[Error Bound (up) - Max. possible relative overstatement]])</f>
        <v>0</v>
      </c>
      <c r="BH29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7" s="114">
        <f t="shared" si="5"/>
        <v>1</v>
      </c>
      <c r="BJ297" s="114">
        <f>PRODUCT($BI$5:BI297)</f>
        <v>0.20973752198051165</v>
      </c>
      <c r="BK297" s="112">
        <f>1 - Audit[[#This Row],[K-M P Value]]</f>
        <v>0.79026247801948835</v>
      </c>
      <c r="BL297" s="114" t="str">
        <f>IF(Audit[[#This Row],[K-M P Value]]&gt;1-'General Info'!$B$12,"Continue", "Stop")</f>
        <v>Continue</v>
      </c>
      <c r="BM297" s="113" t="b">
        <f>IF(Audit[[#This Row],[Status - Continue or stop audit]] = "Continue", TRUE, IF(BL296 = "Continue", TRUE, FALSE))</f>
        <v>1</v>
      </c>
      <c r="BN297" s="113"/>
    </row>
    <row r="298" spans="1:66" ht="15" hidden="1" customHeight="1" x14ac:dyDescent="0.35">
      <c r="A298" s="114" t="str">
        <f>'Sampling Data'!AI298</f>
        <v/>
      </c>
      <c r="B298" s="114" t="str">
        <f>'Sampling Data'!A298</f>
        <v>1505 CIN 15-E   (ED)</v>
      </c>
      <c r="C298" s="114">
        <f>'Sampling Data'!B298</f>
        <v>164</v>
      </c>
      <c r="D298" s="114">
        <f>'Sampling Data'!C298</f>
        <v>7</v>
      </c>
      <c r="E298" s="115">
        <f>'Sampling Data'!D298</f>
        <v>7</v>
      </c>
      <c r="F298" s="115">
        <f>'Sampling Data'!E298</f>
        <v>0</v>
      </c>
      <c r="G298" s="115">
        <f>'Sampling Data'!F298</f>
        <v>0</v>
      </c>
      <c r="H298" s="115">
        <f>'Sampling Data'!G298</f>
        <v>0</v>
      </c>
      <c r="I298" s="115">
        <f>'Sampling Data'!H298</f>
        <v>0</v>
      </c>
      <c r="J298" s="115">
        <f>'Sampling Data'!I298</f>
        <v>0</v>
      </c>
      <c r="K298" s="115">
        <f>'Sampling Data'!J298</f>
        <v>0</v>
      </c>
      <c r="L298" s="115">
        <f>'Sampling Data'!K298</f>
        <v>0</v>
      </c>
      <c r="M298" s="115">
        <f>'Sampling Data'!L298</f>
        <v>0</v>
      </c>
      <c r="N298" s="115">
        <f>'Sampling Data'!M298</f>
        <v>0</v>
      </c>
      <c r="O298" s="114">
        <f>'Sampling Data'!N298</f>
        <v>0</v>
      </c>
      <c r="P298" s="114">
        <f>'Sampling Data'!O298</f>
        <v>1</v>
      </c>
      <c r="Q298" s="114">
        <f>'Sampling Data'!P298</f>
        <v>179</v>
      </c>
      <c r="R298" s="114">
        <f>'Sampling Data'!AJ298</f>
        <v>0</v>
      </c>
      <c r="S298" s="116"/>
      <c r="T298" s="116"/>
      <c r="U298" s="117"/>
      <c r="V298" s="117"/>
      <c r="W298" s="116"/>
      <c r="X298" s="116"/>
      <c r="Y298" s="116"/>
      <c r="Z298" s="116"/>
      <c r="AA298" s="15"/>
      <c r="AB298" s="15"/>
      <c r="AC298" s="15"/>
      <c r="AD298" s="15"/>
      <c r="AE298" s="118" t="str">
        <f>IF(NOT(ISBLANK(Audit[[#This Row],[Audit Winning Candidate]])), Audit[[#This Row],[Audit Winning Candidate]]-Audit[[#This Row],[Winning Candidate]], "")</f>
        <v/>
      </c>
      <c r="AF298" s="114" t="str">
        <f>IF(NOT(ISBLANK(Audit[[#This Row],[Audit Losing Candidate]])), Audit[[#This Row],[Audit Losing Candidate]]-Audit[[#This Row],[Losing Candidate]], "")</f>
        <v/>
      </c>
      <c r="AG298" s="114" t="str">
        <f>IF(NOT(ISBLANK(Audit[[#This Row],[Audit Candidate 3]])), Audit[[#This Row],[Audit Candidate 3]]-Audit[[#This Row],[Candidate 3]], "")</f>
        <v/>
      </c>
      <c r="AH298" s="114" t="str">
        <f>IF(NOT(ISBLANK(Audit[[#This Row],[Audit Candidate 4]])),Audit[[#This Row],[Audit Candidate 4]]-Audit[[#This Row],[Candidate 4]], "")</f>
        <v/>
      </c>
      <c r="AI298" s="114" t="str">
        <f>IF(NOT(ISBLANK(Audit[[#This Row],[Audit Candidate 5]])), Audit[[#This Row],[Audit Candidate 5]]-Audit[[#This Row],[Candidate 5]], "")</f>
        <v/>
      </c>
      <c r="AJ298" s="114" t="str">
        <f>IF(NOT(ISBLANK(Audit[[#This Row],[Audit Candidate 6]])), Audit[[#This Row],[Audit Candidate 6]]-Audit[[#This Row],[Candidate 6]], "")</f>
        <v/>
      </c>
      <c r="AK298" s="114" t="str">
        <f>IF(NOT(ISBLANK(Audit[[#This Row],[Audit Candidate 7]])), Audit[[#This Row],[Audit Candidate 7]]-Audit[[#This Row],[Candidate 7]], "")</f>
        <v/>
      </c>
      <c r="AL298" s="114" t="str">
        <f>IF(NOT(ISBLANK(Audit[[#This Row],[Audit Candidate 8]])), Audit[[#This Row],[Audit Candidate 8]]-Audit[[#This Row],[Candidate 8]], "")</f>
        <v/>
      </c>
      <c r="AM298" s="114" t="str">
        <f>IF(NOT(ISBLANK(Audit[[#This Row],[Audit Candidate 9]])), Audit[[#This Row],[Audit Candidate 9]]-Audit[[#This Row],[Candidate 9]], "")</f>
        <v/>
      </c>
      <c r="AN298" s="114" t="str">
        <f>IF(NOT(ISBLANK(Audit[[#This Row],[Audit Candidate 10]])), Audit[[#This Row],[Audit Candidate 10]]-Audit[[#This Row],[Candidate 10]], "")</f>
        <v/>
      </c>
      <c r="AO298" s="114" t="str">
        <f>IF(NOT(ISBLANK(Audit[[#This Row],[Audit Candidate 11]])), Audit[[#This Row],[Audit Candidate 11]]-Audit[[#This Row],[Candidate 11]], "")</f>
        <v/>
      </c>
      <c r="AP298" s="114" t="str">
        <f>IF(NOT(ISBLANK(Audit[[#This Row],[Audit Candidate 12]])), Audit[[#This Row],[Audit Candidate 12]]-Audit[[#This Row],[Candidate 12]], "")</f>
        <v/>
      </c>
      <c r="AQ298" s="114">
        <f>SUMIF(Audit[[#This Row],[Difference Winner]:[Difference Candidate 12]], "&gt;0")</f>
        <v>0</v>
      </c>
      <c r="AR298" s="114">
        <f>SUM(Audit[[#This Row],[Difference Winner]:[Difference Candidate 12]])</f>
        <v>0</v>
      </c>
      <c r="AS298" s="114">
        <f>IF(Audit[[#This Row],[Times p Drawn - With Replacement]]&gt;0, IF(Audit[[#This Row],[Canceled Differences]]&lt;0, Audit[[#This Row],[Max Differences]]+ABS(Audit[[#This Row],[Canceled Differences]]), Audit[[#This Row],[Max Differences]]), 0)</f>
        <v>0</v>
      </c>
      <c r="AT298" s="114">
        <f>'Sampling Data'!AB298</f>
        <v>2.1237595600783768E-2</v>
      </c>
      <c r="AU298" s="114">
        <f>IF(
      SUM(Audit[[#This Row],[Audit Losing Candidate]:[Audit Candidate 12]])
      &lt;&gt;0,
      (Audit[[#This Row],[Winning Candidate]]-Audit[[#This Row],[Losing Candidate]]-(Audit[[#This Row],[Audit Winning Candidate]]-Audit[[#This Row],[Audit Losing Candidate]]))/(Audit[[#Totals],[Winning Candidate]]-Audit[[#Totals],[Losing Candidate]]),
      0
)</f>
        <v>0</v>
      </c>
      <c r="AV29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8" s="114">
        <f>IF(Audit[[#This Row],[Max Relative Error (ep)]] = 0, 0, Audit[[#This Row],[Max Relative Error (ep)]]/Audit[[#This Row],[Error Bound (up) - Max. possible relative overstatement]])</f>
        <v>0</v>
      </c>
      <c r="BH29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8" s="114">
        <f t="shared" si="5"/>
        <v>1</v>
      </c>
      <c r="BJ298" s="114">
        <f>PRODUCT($BI$5:BI298)</f>
        <v>0.20973752198051165</v>
      </c>
      <c r="BK298" s="112">
        <f>1 - Audit[[#This Row],[K-M P Value]]</f>
        <v>0.79026247801948835</v>
      </c>
      <c r="BL298" s="114" t="str">
        <f>IF(Audit[[#This Row],[K-M P Value]]&gt;1-'General Info'!$B$12,"Continue", "Stop")</f>
        <v>Continue</v>
      </c>
      <c r="BM298" s="113" t="b">
        <f>IF(Audit[[#This Row],[Status - Continue or stop audit]] = "Continue", TRUE, IF(BL297 = "Continue", TRUE, FALSE))</f>
        <v>1</v>
      </c>
      <c r="BN298" s="113"/>
    </row>
    <row r="299" spans="1:66" ht="15" hidden="1" customHeight="1" x14ac:dyDescent="0.35">
      <c r="A299" s="114" t="str">
        <f>'Sampling Data'!AI299</f>
        <v/>
      </c>
      <c r="B299" s="114" t="str">
        <f>'Sampling Data'!A299</f>
        <v>1506 CIN 15-F   (ED)</v>
      </c>
      <c r="C299" s="114">
        <f>'Sampling Data'!B299</f>
        <v>91</v>
      </c>
      <c r="D299" s="114">
        <f>'Sampling Data'!C299</f>
        <v>1</v>
      </c>
      <c r="E299" s="115">
        <f>'Sampling Data'!D299</f>
        <v>3</v>
      </c>
      <c r="F299" s="115">
        <f>'Sampling Data'!E299</f>
        <v>0</v>
      </c>
      <c r="G299" s="115">
        <f>'Sampling Data'!F299</f>
        <v>0</v>
      </c>
      <c r="H299" s="115">
        <f>'Sampling Data'!G299</f>
        <v>0</v>
      </c>
      <c r="I299" s="115">
        <f>'Sampling Data'!H299</f>
        <v>0</v>
      </c>
      <c r="J299" s="115">
        <f>'Sampling Data'!I299</f>
        <v>0</v>
      </c>
      <c r="K299" s="115">
        <f>'Sampling Data'!J299</f>
        <v>0</v>
      </c>
      <c r="L299" s="115">
        <f>'Sampling Data'!K299</f>
        <v>0</v>
      </c>
      <c r="M299" s="115">
        <f>'Sampling Data'!L299</f>
        <v>0</v>
      </c>
      <c r="N299" s="115">
        <f>'Sampling Data'!M299</f>
        <v>0</v>
      </c>
      <c r="O299" s="114">
        <f>'Sampling Data'!N299</f>
        <v>0</v>
      </c>
      <c r="P299" s="114">
        <f>'Sampling Data'!O299</f>
        <v>2</v>
      </c>
      <c r="Q299" s="114">
        <f>'Sampling Data'!P299</f>
        <v>97</v>
      </c>
      <c r="R299" s="114">
        <f>'Sampling Data'!AJ299</f>
        <v>0</v>
      </c>
      <c r="S299" s="116"/>
      <c r="T299" s="116"/>
      <c r="U299" s="117"/>
      <c r="V299" s="117"/>
      <c r="W299" s="116"/>
      <c r="X299" s="116"/>
      <c r="Y299" s="116"/>
      <c r="Z299" s="116"/>
      <c r="AA299" s="15"/>
      <c r="AB299" s="15"/>
      <c r="AC299" s="15"/>
      <c r="AD299" s="15"/>
      <c r="AE299" s="118" t="str">
        <f>IF(NOT(ISBLANK(Audit[[#This Row],[Audit Winning Candidate]])), Audit[[#This Row],[Audit Winning Candidate]]-Audit[[#This Row],[Winning Candidate]], "")</f>
        <v/>
      </c>
      <c r="AF299" s="114" t="str">
        <f>IF(NOT(ISBLANK(Audit[[#This Row],[Audit Losing Candidate]])), Audit[[#This Row],[Audit Losing Candidate]]-Audit[[#This Row],[Losing Candidate]], "")</f>
        <v/>
      </c>
      <c r="AG299" s="114" t="str">
        <f>IF(NOT(ISBLANK(Audit[[#This Row],[Audit Candidate 3]])), Audit[[#This Row],[Audit Candidate 3]]-Audit[[#This Row],[Candidate 3]], "")</f>
        <v/>
      </c>
      <c r="AH299" s="114" t="str">
        <f>IF(NOT(ISBLANK(Audit[[#This Row],[Audit Candidate 4]])),Audit[[#This Row],[Audit Candidate 4]]-Audit[[#This Row],[Candidate 4]], "")</f>
        <v/>
      </c>
      <c r="AI299" s="114" t="str">
        <f>IF(NOT(ISBLANK(Audit[[#This Row],[Audit Candidate 5]])), Audit[[#This Row],[Audit Candidate 5]]-Audit[[#This Row],[Candidate 5]], "")</f>
        <v/>
      </c>
      <c r="AJ299" s="114" t="str">
        <f>IF(NOT(ISBLANK(Audit[[#This Row],[Audit Candidate 6]])), Audit[[#This Row],[Audit Candidate 6]]-Audit[[#This Row],[Candidate 6]], "")</f>
        <v/>
      </c>
      <c r="AK299" s="114" t="str">
        <f>IF(NOT(ISBLANK(Audit[[#This Row],[Audit Candidate 7]])), Audit[[#This Row],[Audit Candidate 7]]-Audit[[#This Row],[Candidate 7]], "")</f>
        <v/>
      </c>
      <c r="AL299" s="114" t="str">
        <f>IF(NOT(ISBLANK(Audit[[#This Row],[Audit Candidate 8]])), Audit[[#This Row],[Audit Candidate 8]]-Audit[[#This Row],[Candidate 8]], "")</f>
        <v/>
      </c>
      <c r="AM299" s="114" t="str">
        <f>IF(NOT(ISBLANK(Audit[[#This Row],[Audit Candidate 9]])), Audit[[#This Row],[Audit Candidate 9]]-Audit[[#This Row],[Candidate 9]], "")</f>
        <v/>
      </c>
      <c r="AN299" s="114" t="str">
        <f>IF(NOT(ISBLANK(Audit[[#This Row],[Audit Candidate 10]])), Audit[[#This Row],[Audit Candidate 10]]-Audit[[#This Row],[Candidate 10]], "")</f>
        <v/>
      </c>
      <c r="AO299" s="114" t="str">
        <f>IF(NOT(ISBLANK(Audit[[#This Row],[Audit Candidate 11]])), Audit[[#This Row],[Audit Candidate 11]]-Audit[[#This Row],[Candidate 11]], "")</f>
        <v/>
      </c>
      <c r="AP299" s="114" t="str">
        <f>IF(NOT(ISBLANK(Audit[[#This Row],[Audit Candidate 12]])), Audit[[#This Row],[Audit Candidate 12]]-Audit[[#This Row],[Candidate 12]], "")</f>
        <v/>
      </c>
      <c r="AQ299" s="114">
        <f>SUMIF(Audit[[#This Row],[Difference Winner]:[Difference Candidate 12]], "&gt;0")</f>
        <v>0</v>
      </c>
      <c r="AR299" s="114">
        <f>SUM(Audit[[#This Row],[Difference Winner]:[Difference Candidate 12]])</f>
        <v>0</v>
      </c>
      <c r="AS299" s="114">
        <f>IF(Audit[[#This Row],[Times p Drawn - With Replacement]]&gt;0, IF(Audit[[#This Row],[Canceled Differences]]&lt;0, Audit[[#This Row],[Max Differences]]+ABS(Audit[[#This Row],[Canceled Differences]]), Audit[[#This Row],[Max Differences]]), 0)</f>
        <v>0</v>
      </c>
      <c r="AT299" s="114">
        <f>'Sampling Data'!AB299</f>
        <v>1.1819733265912395E-2</v>
      </c>
      <c r="AU299" s="114">
        <f>IF(
      SUM(Audit[[#This Row],[Audit Losing Candidate]:[Audit Candidate 12]])
      &lt;&gt;0,
      (Audit[[#This Row],[Winning Candidate]]-Audit[[#This Row],[Losing Candidate]]-(Audit[[#This Row],[Audit Winning Candidate]]-Audit[[#This Row],[Audit Losing Candidate]]))/(Audit[[#Totals],[Winning Candidate]]-Audit[[#Totals],[Losing Candidate]]),
      0
)</f>
        <v>0</v>
      </c>
      <c r="AV29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9" s="114">
        <f>IF(Audit[[#This Row],[Max Relative Error (ep)]] = 0, 0, Audit[[#This Row],[Max Relative Error (ep)]]/Audit[[#This Row],[Error Bound (up) - Max. possible relative overstatement]])</f>
        <v>0</v>
      </c>
      <c r="BH29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299" s="114">
        <f t="shared" si="5"/>
        <v>1</v>
      </c>
      <c r="BJ299" s="114">
        <f>PRODUCT($BI$5:BI299)</f>
        <v>0.20973752198051165</v>
      </c>
      <c r="BK299" s="112">
        <f>1 - Audit[[#This Row],[K-M P Value]]</f>
        <v>0.79026247801948835</v>
      </c>
      <c r="BL299" s="114" t="str">
        <f>IF(Audit[[#This Row],[K-M P Value]]&gt;1-'General Info'!$B$12,"Continue", "Stop")</f>
        <v>Continue</v>
      </c>
      <c r="BM299" s="113" t="b">
        <f>IF(Audit[[#This Row],[Status - Continue or stop audit]] = "Continue", TRUE, IF(BL298 = "Continue", TRUE, FALSE))</f>
        <v>1</v>
      </c>
      <c r="BN299" s="113"/>
    </row>
    <row r="300" spans="1:66" ht="15" customHeight="1" x14ac:dyDescent="0.35">
      <c r="A300" s="114">
        <f>'Sampling Data'!AI300</f>
        <v>5</v>
      </c>
      <c r="B300" s="114" t="str">
        <f>'Sampling Data'!A300</f>
        <v>1507 CIN 15-G   (ED)</v>
      </c>
      <c r="C300" s="114">
        <f>'Sampling Data'!B300</f>
        <v>95</v>
      </c>
      <c r="D300" s="114">
        <f>'Sampling Data'!C300</f>
        <v>6</v>
      </c>
      <c r="E300" s="115">
        <f>'Sampling Data'!D300</f>
        <v>1</v>
      </c>
      <c r="F300" s="115">
        <f>'Sampling Data'!E300</f>
        <v>0</v>
      </c>
      <c r="G300" s="115">
        <f>'Sampling Data'!F300</f>
        <v>0</v>
      </c>
      <c r="H300" s="115">
        <f>'Sampling Data'!G300</f>
        <v>0</v>
      </c>
      <c r="I300" s="115">
        <f>'Sampling Data'!H300</f>
        <v>0</v>
      </c>
      <c r="J300" s="115">
        <f>'Sampling Data'!I300</f>
        <v>0</v>
      </c>
      <c r="K300" s="115">
        <f>'Sampling Data'!J300</f>
        <v>0</v>
      </c>
      <c r="L300" s="115">
        <f>'Sampling Data'!K300</f>
        <v>0</v>
      </c>
      <c r="M300" s="115">
        <f>'Sampling Data'!L300</f>
        <v>0</v>
      </c>
      <c r="N300" s="115">
        <f>'Sampling Data'!M300</f>
        <v>0</v>
      </c>
      <c r="O300" s="114">
        <f>'Sampling Data'!N300</f>
        <v>0</v>
      </c>
      <c r="P300" s="114">
        <f>'Sampling Data'!O300</f>
        <v>3</v>
      </c>
      <c r="Q300" s="114">
        <f>'Sampling Data'!P300</f>
        <v>105</v>
      </c>
      <c r="R300" s="114">
        <f>'Sampling Data'!AJ300</f>
        <v>1</v>
      </c>
      <c r="S300" s="116">
        <v>95</v>
      </c>
      <c r="T300" s="116">
        <v>6</v>
      </c>
      <c r="U300" s="117">
        <v>1</v>
      </c>
      <c r="V300" s="117"/>
      <c r="W300" s="116"/>
      <c r="X300" s="116"/>
      <c r="Y300" s="116"/>
      <c r="Z300" s="116"/>
      <c r="AA300" s="15"/>
      <c r="AB300" s="15"/>
      <c r="AC300" s="15"/>
      <c r="AD300" s="15"/>
      <c r="AE300" s="118">
        <f>IF(NOT(ISBLANK(Audit[[#This Row],[Audit Winning Candidate]])), Audit[[#This Row],[Audit Winning Candidate]]-Audit[[#This Row],[Winning Candidate]], "")</f>
        <v>0</v>
      </c>
      <c r="AF300" s="114">
        <f>IF(NOT(ISBLANK(Audit[[#This Row],[Audit Losing Candidate]])), Audit[[#This Row],[Audit Losing Candidate]]-Audit[[#This Row],[Losing Candidate]], "")</f>
        <v>0</v>
      </c>
      <c r="AG300" s="114">
        <f>IF(NOT(ISBLANK(Audit[[#This Row],[Audit Candidate 3]])), Audit[[#This Row],[Audit Candidate 3]]-Audit[[#This Row],[Candidate 3]], "")</f>
        <v>0</v>
      </c>
      <c r="AH300" s="114" t="str">
        <f>IF(NOT(ISBLANK(Audit[[#This Row],[Audit Candidate 4]])),Audit[[#This Row],[Audit Candidate 4]]-Audit[[#This Row],[Candidate 4]], "")</f>
        <v/>
      </c>
      <c r="AI300" s="114" t="str">
        <f>IF(NOT(ISBLANK(Audit[[#This Row],[Audit Candidate 5]])), Audit[[#This Row],[Audit Candidate 5]]-Audit[[#This Row],[Candidate 5]], "")</f>
        <v/>
      </c>
      <c r="AJ300" s="114" t="str">
        <f>IF(NOT(ISBLANK(Audit[[#This Row],[Audit Candidate 6]])), Audit[[#This Row],[Audit Candidate 6]]-Audit[[#This Row],[Candidate 6]], "")</f>
        <v/>
      </c>
      <c r="AK300" s="114" t="str">
        <f>IF(NOT(ISBLANK(Audit[[#This Row],[Audit Candidate 7]])), Audit[[#This Row],[Audit Candidate 7]]-Audit[[#This Row],[Candidate 7]], "")</f>
        <v/>
      </c>
      <c r="AL300" s="114" t="str">
        <f>IF(NOT(ISBLANK(Audit[[#This Row],[Audit Candidate 8]])), Audit[[#This Row],[Audit Candidate 8]]-Audit[[#This Row],[Candidate 8]], "")</f>
        <v/>
      </c>
      <c r="AM300" s="114" t="str">
        <f>IF(NOT(ISBLANK(Audit[[#This Row],[Audit Candidate 9]])), Audit[[#This Row],[Audit Candidate 9]]-Audit[[#This Row],[Candidate 9]], "")</f>
        <v/>
      </c>
      <c r="AN300" s="114" t="str">
        <f>IF(NOT(ISBLANK(Audit[[#This Row],[Audit Candidate 10]])), Audit[[#This Row],[Audit Candidate 10]]-Audit[[#This Row],[Candidate 10]], "")</f>
        <v/>
      </c>
      <c r="AO300" s="114" t="str">
        <f>IF(NOT(ISBLANK(Audit[[#This Row],[Audit Candidate 11]])), Audit[[#This Row],[Audit Candidate 11]]-Audit[[#This Row],[Candidate 11]], "")</f>
        <v/>
      </c>
      <c r="AP300" s="114" t="str">
        <f>IF(NOT(ISBLANK(Audit[[#This Row],[Audit Candidate 12]])), Audit[[#This Row],[Audit Candidate 12]]-Audit[[#This Row],[Candidate 12]], "")</f>
        <v/>
      </c>
      <c r="AQ300" s="114">
        <f>SUMIF(Audit[[#This Row],[Difference Winner]:[Difference Candidate 12]], "&gt;0")</f>
        <v>0</v>
      </c>
      <c r="AR300" s="114">
        <f>SUM(Audit[[#This Row],[Difference Winner]:[Difference Candidate 12]])</f>
        <v>0</v>
      </c>
      <c r="AS300" s="114">
        <f>IF(Audit[[#This Row],[Times p Drawn - With Replacement]]&gt;0, IF(Audit[[#This Row],[Canceled Differences]]&lt;0, Audit[[#This Row],[Max Differences]]+ABS(Audit[[#This Row],[Canceled Differences]]), Audit[[#This Row],[Max Differences]]), 0)</f>
        <v>0</v>
      </c>
      <c r="AT300" s="114">
        <f>'Sampling Data'!AB300</f>
        <v>1.2262183174262057E-2</v>
      </c>
      <c r="AU300" s="114">
        <f>IF(
      SUM(Audit[[#This Row],[Audit Losing Candidate]:[Audit Candidate 12]])
      &lt;&gt;0,
      (Audit[[#This Row],[Winning Candidate]]-Audit[[#This Row],[Losing Candidate]]-(Audit[[#This Row],[Audit Winning Candidate]]-Audit[[#This Row],[Audit Losing Candidate]]))/(Audit[[#Totals],[Winning Candidate]]-Audit[[#Totals],[Losing Candidate]]),
      0
)</f>
        <v>0</v>
      </c>
      <c r="AV300" s="114">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0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0" s="114">
        <f>IF(Audit[[#This Row],[Max Relative Error (ep)]] = 0, 0, Audit[[#This Row],[Max Relative Error (ep)]]/Audit[[#This Row],[Error Bound (up) - Max. possible relative overstatement]])</f>
        <v>0</v>
      </c>
      <c r="BH30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0" s="114">
        <f t="shared" si="5"/>
        <v>0.59414444935226851</v>
      </c>
      <c r="BJ300" s="114">
        <f>PRODUCT($BI$5:BI300)</f>
        <v>0.12461438450562042</v>
      </c>
      <c r="BK300" s="112">
        <f>1 - Audit[[#This Row],[K-M P Value]]</f>
        <v>0.87538561549437954</v>
      </c>
      <c r="BL300" s="114" t="str">
        <f>IF(Audit[[#This Row],[K-M P Value]]&gt;1-'General Info'!$B$12,"Continue", "Stop")</f>
        <v>Continue</v>
      </c>
      <c r="BM300" s="113" t="b">
        <f>IF(Audit[[#This Row],[Status - Continue or stop audit]] = "Continue", TRUE, IF(BL299 = "Continue", TRUE, FALSE))</f>
        <v>1</v>
      </c>
      <c r="BN300" s="113"/>
    </row>
    <row r="301" spans="1:66" ht="15" hidden="1" customHeight="1" x14ac:dyDescent="0.35">
      <c r="A301" s="114" t="str">
        <f>'Sampling Data'!AI301</f>
        <v/>
      </c>
      <c r="B301" s="114" t="str">
        <f>'Sampling Data'!A301</f>
        <v>1508 CIN 15-H   (ED)</v>
      </c>
      <c r="C301" s="114">
        <f>'Sampling Data'!B301</f>
        <v>232</v>
      </c>
      <c r="D301" s="114">
        <f>'Sampling Data'!C301</f>
        <v>21</v>
      </c>
      <c r="E301" s="115">
        <f>'Sampling Data'!D301</f>
        <v>11</v>
      </c>
      <c r="F301" s="115">
        <f>'Sampling Data'!E301</f>
        <v>0</v>
      </c>
      <c r="G301" s="115">
        <f>'Sampling Data'!F301</f>
        <v>0</v>
      </c>
      <c r="H301" s="115">
        <f>'Sampling Data'!G301</f>
        <v>0</v>
      </c>
      <c r="I301" s="115">
        <f>'Sampling Data'!H301</f>
        <v>0</v>
      </c>
      <c r="J301" s="115">
        <f>'Sampling Data'!I301</f>
        <v>0</v>
      </c>
      <c r="K301" s="115">
        <f>'Sampling Data'!J301</f>
        <v>0</v>
      </c>
      <c r="L301" s="115">
        <f>'Sampling Data'!K301</f>
        <v>0</v>
      </c>
      <c r="M301" s="115">
        <f>'Sampling Data'!L301</f>
        <v>0</v>
      </c>
      <c r="N301" s="115">
        <f>'Sampling Data'!M301</f>
        <v>0</v>
      </c>
      <c r="O301" s="114">
        <f>'Sampling Data'!N301</f>
        <v>0</v>
      </c>
      <c r="P301" s="114">
        <f>'Sampling Data'!O301</f>
        <v>4</v>
      </c>
      <c r="Q301" s="114">
        <f>'Sampling Data'!P301</f>
        <v>268</v>
      </c>
      <c r="R301" s="114">
        <f>'Sampling Data'!AJ301</f>
        <v>0</v>
      </c>
      <c r="S301" s="116"/>
      <c r="T301" s="116"/>
      <c r="U301" s="117"/>
      <c r="V301" s="117"/>
      <c r="W301" s="116"/>
      <c r="X301" s="116"/>
      <c r="Y301" s="116"/>
      <c r="Z301" s="116"/>
      <c r="AA301" s="15"/>
      <c r="AB301" s="15"/>
      <c r="AC301" s="15"/>
      <c r="AD301" s="15"/>
      <c r="AE301" s="118" t="str">
        <f>IF(NOT(ISBLANK(Audit[[#This Row],[Audit Winning Candidate]])), Audit[[#This Row],[Audit Winning Candidate]]-Audit[[#This Row],[Winning Candidate]], "")</f>
        <v/>
      </c>
      <c r="AF301" s="114" t="str">
        <f>IF(NOT(ISBLANK(Audit[[#This Row],[Audit Losing Candidate]])), Audit[[#This Row],[Audit Losing Candidate]]-Audit[[#This Row],[Losing Candidate]], "")</f>
        <v/>
      </c>
      <c r="AG301" s="114" t="str">
        <f>IF(NOT(ISBLANK(Audit[[#This Row],[Audit Candidate 3]])), Audit[[#This Row],[Audit Candidate 3]]-Audit[[#This Row],[Candidate 3]], "")</f>
        <v/>
      </c>
      <c r="AH301" s="114" t="str">
        <f>IF(NOT(ISBLANK(Audit[[#This Row],[Audit Candidate 4]])),Audit[[#This Row],[Audit Candidate 4]]-Audit[[#This Row],[Candidate 4]], "")</f>
        <v/>
      </c>
      <c r="AI301" s="114" t="str">
        <f>IF(NOT(ISBLANK(Audit[[#This Row],[Audit Candidate 5]])), Audit[[#This Row],[Audit Candidate 5]]-Audit[[#This Row],[Candidate 5]], "")</f>
        <v/>
      </c>
      <c r="AJ301" s="114" t="str">
        <f>IF(NOT(ISBLANK(Audit[[#This Row],[Audit Candidate 6]])), Audit[[#This Row],[Audit Candidate 6]]-Audit[[#This Row],[Candidate 6]], "")</f>
        <v/>
      </c>
      <c r="AK301" s="114" t="str">
        <f>IF(NOT(ISBLANK(Audit[[#This Row],[Audit Candidate 7]])), Audit[[#This Row],[Audit Candidate 7]]-Audit[[#This Row],[Candidate 7]], "")</f>
        <v/>
      </c>
      <c r="AL301" s="114" t="str">
        <f>IF(NOT(ISBLANK(Audit[[#This Row],[Audit Candidate 8]])), Audit[[#This Row],[Audit Candidate 8]]-Audit[[#This Row],[Candidate 8]], "")</f>
        <v/>
      </c>
      <c r="AM301" s="114" t="str">
        <f>IF(NOT(ISBLANK(Audit[[#This Row],[Audit Candidate 9]])), Audit[[#This Row],[Audit Candidate 9]]-Audit[[#This Row],[Candidate 9]], "")</f>
        <v/>
      </c>
      <c r="AN301" s="114" t="str">
        <f>IF(NOT(ISBLANK(Audit[[#This Row],[Audit Candidate 10]])), Audit[[#This Row],[Audit Candidate 10]]-Audit[[#This Row],[Candidate 10]], "")</f>
        <v/>
      </c>
      <c r="AO301" s="114" t="str">
        <f>IF(NOT(ISBLANK(Audit[[#This Row],[Audit Candidate 11]])), Audit[[#This Row],[Audit Candidate 11]]-Audit[[#This Row],[Candidate 11]], "")</f>
        <v/>
      </c>
      <c r="AP301" s="114" t="str">
        <f>IF(NOT(ISBLANK(Audit[[#This Row],[Audit Candidate 12]])), Audit[[#This Row],[Audit Candidate 12]]-Audit[[#This Row],[Candidate 12]], "")</f>
        <v/>
      </c>
      <c r="AQ301" s="114">
        <f>SUMIF(Audit[[#This Row],[Difference Winner]:[Difference Candidate 12]], "&gt;0")</f>
        <v>0</v>
      </c>
      <c r="AR301" s="114">
        <f>SUM(Audit[[#This Row],[Difference Winner]:[Difference Candidate 12]])</f>
        <v>0</v>
      </c>
      <c r="AS301" s="114">
        <f>IF(Audit[[#This Row],[Times p Drawn - With Replacement]]&gt;0, IF(Audit[[#This Row],[Canceled Differences]]&lt;0, Audit[[#This Row],[Max Differences]]+ABS(Audit[[#This Row],[Canceled Differences]]), Audit[[#This Row],[Max Differences]]), 0)</f>
        <v>0</v>
      </c>
      <c r="AT301" s="114">
        <f>'Sampling Data'!AB301</f>
        <v>3.0276215157069717E-2</v>
      </c>
      <c r="AU301" s="114">
        <f>IF(
      SUM(Audit[[#This Row],[Audit Losing Candidate]:[Audit Candidate 12]])
      &lt;&gt;0,
      (Audit[[#This Row],[Winning Candidate]]-Audit[[#This Row],[Losing Candidate]]-(Audit[[#This Row],[Audit Winning Candidate]]-Audit[[#This Row],[Audit Losing Candidate]]))/(Audit[[#Totals],[Winning Candidate]]-Audit[[#Totals],[Losing Candidate]]),
      0
)</f>
        <v>0</v>
      </c>
      <c r="AV30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1" s="114">
        <f>IF(Audit[[#This Row],[Max Relative Error (ep)]] = 0, 0, Audit[[#This Row],[Max Relative Error (ep)]]/Audit[[#This Row],[Error Bound (up) - Max. possible relative overstatement]])</f>
        <v>0</v>
      </c>
      <c r="BH30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1" s="114">
        <f t="shared" si="5"/>
        <v>1</v>
      </c>
      <c r="BJ301" s="114">
        <f>PRODUCT($BI$5:BI301)</f>
        <v>0.12461438450562042</v>
      </c>
      <c r="BK301" s="112">
        <f>1 - Audit[[#This Row],[K-M P Value]]</f>
        <v>0.87538561549437954</v>
      </c>
      <c r="BL301" s="114" t="str">
        <f>IF(Audit[[#This Row],[K-M P Value]]&gt;1-'General Info'!$B$12,"Continue", "Stop")</f>
        <v>Continue</v>
      </c>
      <c r="BM301" s="113" t="b">
        <f>IF(Audit[[#This Row],[Status - Continue or stop audit]] = "Continue", TRUE, IF(BL300 = "Continue", TRUE, FALSE))</f>
        <v>1</v>
      </c>
      <c r="BN301" s="113"/>
    </row>
    <row r="302" spans="1:66" ht="15" hidden="1" customHeight="1" x14ac:dyDescent="0.35">
      <c r="A302" s="114" t="str">
        <f>'Sampling Data'!AI302</f>
        <v/>
      </c>
      <c r="B302" s="114" t="str">
        <f>'Sampling Data'!A302</f>
        <v>1509 CIN 15-I   (ED)</v>
      </c>
      <c r="C302" s="114">
        <f>'Sampling Data'!B302</f>
        <v>88</v>
      </c>
      <c r="D302" s="114">
        <f>'Sampling Data'!C302</f>
        <v>12</v>
      </c>
      <c r="E302" s="115">
        <f>'Sampling Data'!D302</f>
        <v>2</v>
      </c>
      <c r="F302" s="115">
        <f>'Sampling Data'!E302</f>
        <v>0</v>
      </c>
      <c r="G302" s="115">
        <f>'Sampling Data'!F302</f>
        <v>0</v>
      </c>
      <c r="H302" s="115">
        <f>'Sampling Data'!G302</f>
        <v>0</v>
      </c>
      <c r="I302" s="115">
        <f>'Sampling Data'!H302</f>
        <v>0</v>
      </c>
      <c r="J302" s="115">
        <f>'Sampling Data'!I302</f>
        <v>0</v>
      </c>
      <c r="K302" s="115">
        <f>'Sampling Data'!J302</f>
        <v>0</v>
      </c>
      <c r="L302" s="115">
        <f>'Sampling Data'!K302</f>
        <v>0</v>
      </c>
      <c r="M302" s="115">
        <f>'Sampling Data'!L302</f>
        <v>0</v>
      </c>
      <c r="N302" s="115">
        <f>'Sampling Data'!M302</f>
        <v>0</v>
      </c>
      <c r="O302" s="114">
        <f>'Sampling Data'!N302</f>
        <v>0</v>
      </c>
      <c r="P302" s="114">
        <f>'Sampling Data'!O302</f>
        <v>3</v>
      </c>
      <c r="Q302" s="114">
        <f>'Sampling Data'!P302</f>
        <v>105</v>
      </c>
      <c r="R302" s="114">
        <f>'Sampling Data'!AJ302</f>
        <v>0</v>
      </c>
      <c r="S302" s="116"/>
      <c r="T302" s="116"/>
      <c r="U302" s="117"/>
      <c r="V302" s="117"/>
      <c r="W302" s="116"/>
      <c r="X302" s="116"/>
      <c r="Y302" s="116"/>
      <c r="Z302" s="116"/>
      <c r="AA302" s="15"/>
      <c r="AB302" s="15"/>
      <c r="AC302" s="15"/>
      <c r="AD302" s="15"/>
      <c r="AE302" s="118" t="str">
        <f>IF(NOT(ISBLANK(Audit[[#This Row],[Audit Winning Candidate]])), Audit[[#This Row],[Audit Winning Candidate]]-Audit[[#This Row],[Winning Candidate]], "")</f>
        <v/>
      </c>
      <c r="AF302" s="114" t="str">
        <f>IF(NOT(ISBLANK(Audit[[#This Row],[Audit Losing Candidate]])), Audit[[#This Row],[Audit Losing Candidate]]-Audit[[#This Row],[Losing Candidate]], "")</f>
        <v/>
      </c>
      <c r="AG302" s="114" t="str">
        <f>IF(NOT(ISBLANK(Audit[[#This Row],[Audit Candidate 3]])), Audit[[#This Row],[Audit Candidate 3]]-Audit[[#This Row],[Candidate 3]], "")</f>
        <v/>
      </c>
      <c r="AH302" s="114" t="str">
        <f>IF(NOT(ISBLANK(Audit[[#This Row],[Audit Candidate 4]])),Audit[[#This Row],[Audit Candidate 4]]-Audit[[#This Row],[Candidate 4]], "")</f>
        <v/>
      </c>
      <c r="AI302" s="114" t="str">
        <f>IF(NOT(ISBLANK(Audit[[#This Row],[Audit Candidate 5]])), Audit[[#This Row],[Audit Candidate 5]]-Audit[[#This Row],[Candidate 5]], "")</f>
        <v/>
      </c>
      <c r="AJ302" s="114" t="str">
        <f>IF(NOT(ISBLANK(Audit[[#This Row],[Audit Candidate 6]])), Audit[[#This Row],[Audit Candidate 6]]-Audit[[#This Row],[Candidate 6]], "")</f>
        <v/>
      </c>
      <c r="AK302" s="114" t="str">
        <f>IF(NOT(ISBLANK(Audit[[#This Row],[Audit Candidate 7]])), Audit[[#This Row],[Audit Candidate 7]]-Audit[[#This Row],[Candidate 7]], "")</f>
        <v/>
      </c>
      <c r="AL302" s="114" t="str">
        <f>IF(NOT(ISBLANK(Audit[[#This Row],[Audit Candidate 8]])), Audit[[#This Row],[Audit Candidate 8]]-Audit[[#This Row],[Candidate 8]], "")</f>
        <v/>
      </c>
      <c r="AM302" s="114" t="str">
        <f>IF(NOT(ISBLANK(Audit[[#This Row],[Audit Candidate 9]])), Audit[[#This Row],[Audit Candidate 9]]-Audit[[#This Row],[Candidate 9]], "")</f>
        <v/>
      </c>
      <c r="AN302" s="114" t="str">
        <f>IF(NOT(ISBLANK(Audit[[#This Row],[Audit Candidate 10]])), Audit[[#This Row],[Audit Candidate 10]]-Audit[[#This Row],[Candidate 10]], "")</f>
        <v/>
      </c>
      <c r="AO302" s="114" t="str">
        <f>IF(NOT(ISBLANK(Audit[[#This Row],[Audit Candidate 11]])), Audit[[#This Row],[Audit Candidate 11]]-Audit[[#This Row],[Candidate 11]], "")</f>
        <v/>
      </c>
      <c r="AP302" s="114" t="str">
        <f>IF(NOT(ISBLANK(Audit[[#This Row],[Audit Candidate 12]])), Audit[[#This Row],[Audit Candidate 12]]-Audit[[#This Row],[Candidate 12]], "")</f>
        <v/>
      </c>
      <c r="AQ302" s="114">
        <f>SUMIF(Audit[[#This Row],[Difference Winner]:[Difference Candidate 12]], "&gt;0")</f>
        <v>0</v>
      </c>
      <c r="AR302" s="114">
        <f>SUM(Audit[[#This Row],[Difference Winner]:[Difference Candidate 12]])</f>
        <v>0</v>
      </c>
      <c r="AS302" s="114">
        <f>IF(Audit[[#This Row],[Times p Drawn - With Replacement]]&gt;0, IF(Audit[[#This Row],[Canceled Differences]]&lt;0, Audit[[#This Row],[Max Differences]]+ABS(Audit[[#This Row],[Canceled Differences]]), Audit[[#This Row],[Max Differences]]), 0)</f>
        <v>0</v>
      </c>
      <c r="AT302" s="114">
        <f>'Sampling Data'!AB302</f>
        <v>1.144049048732697E-2</v>
      </c>
      <c r="AU302" s="114">
        <f>IF(
      SUM(Audit[[#This Row],[Audit Losing Candidate]:[Audit Candidate 12]])
      &lt;&gt;0,
      (Audit[[#This Row],[Winning Candidate]]-Audit[[#This Row],[Losing Candidate]]-(Audit[[#This Row],[Audit Winning Candidate]]-Audit[[#This Row],[Audit Losing Candidate]]))/(Audit[[#Totals],[Winning Candidate]]-Audit[[#Totals],[Losing Candidate]]),
      0
)</f>
        <v>0</v>
      </c>
      <c r="AV30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2" s="114">
        <f>IF(Audit[[#This Row],[Max Relative Error (ep)]] = 0, 0, Audit[[#This Row],[Max Relative Error (ep)]]/Audit[[#This Row],[Error Bound (up) - Max. possible relative overstatement]])</f>
        <v>0</v>
      </c>
      <c r="BH30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2" s="114">
        <f t="shared" si="5"/>
        <v>1</v>
      </c>
      <c r="BJ302" s="114">
        <f>PRODUCT($BI$5:BI302)</f>
        <v>0.12461438450562042</v>
      </c>
      <c r="BK302" s="112">
        <f>1 - Audit[[#This Row],[K-M P Value]]</f>
        <v>0.87538561549437954</v>
      </c>
      <c r="BL302" s="114" t="str">
        <f>IF(Audit[[#This Row],[K-M P Value]]&gt;1-'General Info'!$B$12,"Continue", "Stop")</f>
        <v>Continue</v>
      </c>
      <c r="BM302" s="113" t="b">
        <f>IF(Audit[[#This Row],[Status - Continue or stop audit]] = "Continue", TRUE, IF(BL301 = "Continue", TRUE, FALSE))</f>
        <v>1</v>
      </c>
      <c r="BN302" s="113"/>
    </row>
    <row r="303" spans="1:66" ht="15" hidden="1" customHeight="1" x14ac:dyDescent="0.35">
      <c r="A303" s="114" t="str">
        <f>'Sampling Data'!AI303</f>
        <v/>
      </c>
      <c r="B303" s="114" t="str">
        <f>'Sampling Data'!A303</f>
        <v>1510 CIN 15-J   (ED)</v>
      </c>
      <c r="C303" s="114">
        <f>'Sampling Data'!B303</f>
        <v>43</v>
      </c>
      <c r="D303" s="114">
        <f>'Sampling Data'!C303</f>
        <v>1</v>
      </c>
      <c r="E303" s="115">
        <f>'Sampling Data'!D303</f>
        <v>0</v>
      </c>
      <c r="F303" s="115">
        <f>'Sampling Data'!E303</f>
        <v>0</v>
      </c>
      <c r="G303" s="115">
        <f>'Sampling Data'!F303</f>
        <v>0</v>
      </c>
      <c r="H303" s="115">
        <f>'Sampling Data'!G303</f>
        <v>0</v>
      </c>
      <c r="I303" s="115">
        <f>'Sampling Data'!H303</f>
        <v>0</v>
      </c>
      <c r="J303" s="115">
        <f>'Sampling Data'!I303</f>
        <v>0</v>
      </c>
      <c r="K303" s="115">
        <f>'Sampling Data'!J303</f>
        <v>0</v>
      </c>
      <c r="L303" s="115">
        <f>'Sampling Data'!K303</f>
        <v>0</v>
      </c>
      <c r="M303" s="115">
        <f>'Sampling Data'!L303</f>
        <v>0</v>
      </c>
      <c r="N303" s="115">
        <f>'Sampling Data'!M303</f>
        <v>0</v>
      </c>
      <c r="O303" s="114">
        <f>'Sampling Data'!N303</f>
        <v>0</v>
      </c>
      <c r="P303" s="114">
        <f>'Sampling Data'!O303</f>
        <v>0</v>
      </c>
      <c r="Q303" s="114">
        <f>'Sampling Data'!P303</f>
        <v>44</v>
      </c>
      <c r="R303" s="114">
        <f>'Sampling Data'!AJ303</f>
        <v>0</v>
      </c>
      <c r="S303" s="116"/>
      <c r="T303" s="116"/>
      <c r="U303" s="117"/>
      <c r="V303" s="117"/>
      <c r="W303" s="116"/>
      <c r="X303" s="116"/>
      <c r="Y303" s="116"/>
      <c r="Z303" s="116"/>
      <c r="AA303" s="15"/>
      <c r="AB303" s="15"/>
      <c r="AC303" s="15"/>
      <c r="AD303" s="15"/>
      <c r="AE303" s="118" t="str">
        <f>IF(NOT(ISBLANK(Audit[[#This Row],[Audit Winning Candidate]])), Audit[[#This Row],[Audit Winning Candidate]]-Audit[[#This Row],[Winning Candidate]], "")</f>
        <v/>
      </c>
      <c r="AF303" s="114" t="str">
        <f>IF(NOT(ISBLANK(Audit[[#This Row],[Audit Losing Candidate]])), Audit[[#This Row],[Audit Losing Candidate]]-Audit[[#This Row],[Losing Candidate]], "")</f>
        <v/>
      </c>
      <c r="AG303" s="114" t="str">
        <f>IF(NOT(ISBLANK(Audit[[#This Row],[Audit Candidate 3]])), Audit[[#This Row],[Audit Candidate 3]]-Audit[[#This Row],[Candidate 3]], "")</f>
        <v/>
      </c>
      <c r="AH303" s="114" t="str">
        <f>IF(NOT(ISBLANK(Audit[[#This Row],[Audit Candidate 4]])),Audit[[#This Row],[Audit Candidate 4]]-Audit[[#This Row],[Candidate 4]], "")</f>
        <v/>
      </c>
      <c r="AI303" s="114" t="str">
        <f>IF(NOT(ISBLANK(Audit[[#This Row],[Audit Candidate 5]])), Audit[[#This Row],[Audit Candidate 5]]-Audit[[#This Row],[Candidate 5]], "")</f>
        <v/>
      </c>
      <c r="AJ303" s="114" t="str">
        <f>IF(NOT(ISBLANK(Audit[[#This Row],[Audit Candidate 6]])), Audit[[#This Row],[Audit Candidate 6]]-Audit[[#This Row],[Candidate 6]], "")</f>
        <v/>
      </c>
      <c r="AK303" s="114" t="str">
        <f>IF(NOT(ISBLANK(Audit[[#This Row],[Audit Candidate 7]])), Audit[[#This Row],[Audit Candidate 7]]-Audit[[#This Row],[Candidate 7]], "")</f>
        <v/>
      </c>
      <c r="AL303" s="114" t="str">
        <f>IF(NOT(ISBLANK(Audit[[#This Row],[Audit Candidate 8]])), Audit[[#This Row],[Audit Candidate 8]]-Audit[[#This Row],[Candidate 8]], "")</f>
        <v/>
      </c>
      <c r="AM303" s="114" t="str">
        <f>IF(NOT(ISBLANK(Audit[[#This Row],[Audit Candidate 9]])), Audit[[#This Row],[Audit Candidate 9]]-Audit[[#This Row],[Candidate 9]], "")</f>
        <v/>
      </c>
      <c r="AN303" s="114" t="str">
        <f>IF(NOT(ISBLANK(Audit[[#This Row],[Audit Candidate 10]])), Audit[[#This Row],[Audit Candidate 10]]-Audit[[#This Row],[Candidate 10]], "")</f>
        <v/>
      </c>
      <c r="AO303" s="114" t="str">
        <f>IF(NOT(ISBLANK(Audit[[#This Row],[Audit Candidate 11]])), Audit[[#This Row],[Audit Candidate 11]]-Audit[[#This Row],[Candidate 11]], "")</f>
        <v/>
      </c>
      <c r="AP303" s="114" t="str">
        <f>IF(NOT(ISBLANK(Audit[[#This Row],[Audit Candidate 12]])), Audit[[#This Row],[Audit Candidate 12]]-Audit[[#This Row],[Candidate 12]], "")</f>
        <v/>
      </c>
      <c r="AQ303" s="114">
        <f>SUMIF(Audit[[#This Row],[Difference Winner]:[Difference Candidate 12]], "&gt;0")</f>
        <v>0</v>
      </c>
      <c r="AR303" s="114">
        <f>SUM(Audit[[#This Row],[Difference Winner]:[Difference Candidate 12]])</f>
        <v>0</v>
      </c>
      <c r="AS303" s="114">
        <f>IF(Audit[[#This Row],[Times p Drawn - With Replacement]]&gt;0, IF(Audit[[#This Row],[Canceled Differences]]&lt;0, Audit[[#This Row],[Max Differences]]+ABS(Audit[[#This Row],[Canceled Differences]]), Audit[[#This Row],[Max Differences]]), 0)</f>
        <v>0</v>
      </c>
      <c r="AT303" s="114">
        <f>'Sampling Data'!AB303</f>
        <v>5.4358131597244171E-3</v>
      </c>
      <c r="AU303" s="114">
        <f>IF(
      SUM(Audit[[#This Row],[Audit Losing Candidate]:[Audit Candidate 12]])
      &lt;&gt;0,
      (Audit[[#This Row],[Winning Candidate]]-Audit[[#This Row],[Losing Candidate]]-(Audit[[#This Row],[Audit Winning Candidate]]-Audit[[#This Row],[Audit Losing Candidate]]))/(Audit[[#Totals],[Winning Candidate]]-Audit[[#Totals],[Losing Candidate]]),
      0
)</f>
        <v>0</v>
      </c>
      <c r="AV30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3" s="114">
        <f>IF(Audit[[#This Row],[Max Relative Error (ep)]] = 0, 0, Audit[[#This Row],[Max Relative Error (ep)]]/Audit[[#This Row],[Error Bound (up) - Max. possible relative overstatement]])</f>
        <v>0</v>
      </c>
      <c r="BH30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3" s="114">
        <f t="shared" si="5"/>
        <v>1</v>
      </c>
      <c r="BJ303" s="114">
        <f>PRODUCT($BI$5:BI303)</f>
        <v>0.12461438450562042</v>
      </c>
      <c r="BK303" s="112">
        <f>1 - Audit[[#This Row],[K-M P Value]]</f>
        <v>0.87538561549437954</v>
      </c>
      <c r="BL303" s="114" t="str">
        <f>IF(Audit[[#This Row],[K-M P Value]]&gt;1-'General Info'!$B$12,"Continue", "Stop")</f>
        <v>Continue</v>
      </c>
      <c r="BM303" s="113" t="b">
        <f>IF(Audit[[#This Row],[Status - Continue or stop audit]] = "Continue", TRUE, IF(BL302 = "Continue", TRUE, FALSE))</f>
        <v>1</v>
      </c>
      <c r="BN303" s="113"/>
    </row>
    <row r="304" spans="1:66" ht="15" hidden="1" customHeight="1" x14ac:dyDescent="0.35">
      <c r="A304" s="114" t="str">
        <f>'Sampling Data'!AI304</f>
        <v/>
      </c>
      <c r="B304" s="114" t="str">
        <f>'Sampling Data'!A304</f>
        <v>1601 CIN 16-A   (ED)</v>
      </c>
      <c r="C304" s="114">
        <f>'Sampling Data'!B304</f>
        <v>56</v>
      </c>
      <c r="D304" s="114">
        <f>'Sampling Data'!C304</f>
        <v>2</v>
      </c>
      <c r="E304" s="115">
        <f>'Sampling Data'!D304</f>
        <v>2</v>
      </c>
      <c r="F304" s="115">
        <f>'Sampling Data'!E304</f>
        <v>0</v>
      </c>
      <c r="G304" s="115">
        <f>'Sampling Data'!F304</f>
        <v>0</v>
      </c>
      <c r="H304" s="115">
        <f>'Sampling Data'!G304</f>
        <v>0</v>
      </c>
      <c r="I304" s="115">
        <f>'Sampling Data'!H304</f>
        <v>0</v>
      </c>
      <c r="J304" s="115">
        <f>'Sampling Data'!I304</f>
        <v>0</v>
      </c>
      <c r="K304" s="115">
        <f>'Sampling Data'!J304</f>
        <v>0</v>
      </c>
      <c r="L304" s="115">
        <f>'Sampling Data'!K304</f>
        <v>0</v>
      </c>
      <c r="M304" s="115">
        <f>'Sampling Data'!L304</f>
        <v>0</v>
      </c>
      <c r="N304" s="115">
        <f>'Sampling Data'!M304</f>
        <v>0</v>
      </c>
      <c r="O304" s="114">
        <f>'Sampling Data'!N304</f>
        <v>0</v>
      </c>
      <c r="P304" s="114">
        <f>'Sampling Data'!O304</f>
        <v>1</v>
      </c>
      <c r="Q304" s="114">
        <f>'Sampling Data'!P304</f>
        <v>61</v>
      </c>
      <c r="R304" s="114">
        <f>'Sampling Data'!AJ304</f>
        <v>0</v>
      </c>
      <c r="S304" s="116"/>
      <c r="T304" s="116"/>
      <c r="U304" s="117"/>
      <c r="V304" s="117"/>
      <c r="W304" s="116"/>
      <c r="X304" s="116"/>
      <c r="Y304" s="116"/>
      <c r="Z304" s="116"/>
      <c r="AA304" s="15"/>
      <c r="AB304" s="15"/>
      <c r="AC304" s="15"/>
      <c r="AD304" s="15"/>
      <c r="AE304" s="118" t="str">
        <f>IF(NOT(ISBLANK(Audit[[#This Row],[Audit Winning Candidate]])), Audit[[#This Row],[Audit Winning Candidate]]-Audit[[#This Row],[Winning Candidate]], "")</f>
        <v/>
      </c>
      <c r="AF304" s="114" t="str">
        <f>IF(NOT(ISBLANK(Audit[[#This Row],[Audit Losing Candidate]])), Audit[[#This Row],[Audit Losing Candidate]]-Audit[[#This Row],[Losing Candidate]], "")</f>
        <v/>
      </c>
      <c r="AG304" s="114" t="str">
        <f>IF(NOT(ISBLANK(Audit[[#This Row],[Audit Candidate 3]])), Audit[[#This Row],[Audit Candidate 3]]-Audit[[#This Row],[Candidate 3]], "")</f>
        <v/>
      </c>
      <c r="AH304" s="114" t="str">
        <f>IF(NOT(ISBLANK(Audit[[#This Row],[Audit Candidate 4]])),Audit[[#This Row],[Audit Candidate 4]]-Audit[[#This Row],[Candidate 4]], "")</f>
        <v/>
      </c>
      <c r="AI304" s="114" t="str">
        <f>IF(NOT(ISBLANK(Audit[[#This Row],[Audit Candidate 5]])), Audit[[#This Row],[Audit Candidate 5]]-Audit[[#This Row],[Candidate 5]], "")</f>
        <v/>
      </c>
      <c r="AJ304" s="114" t="str">
        <f>IF(NOT(ISBLANK(Audit[[#This Row],[Audit Candidate 6]])), Audit[[#This Row],[Audit Candidate 6]]-Audit[[#This Row],[Candidate 6]], "")</f>
        <v/>
      </c>
      <c r="AK304" s="114" t="str">
        <f>IF(NOT(ISBLANK(Audit[[#This Row],[Audit Candidate 7]])), Audit[[#This Row],[Audit Candidate 7]]-Audit[[#This Row],[Candidate 7]], "")</f>
        <v/>
      </c>
      <c r="AL304" s="114" t="str">
        <f>IF(NOT(ISBLANK(Audit[[#This Row],[Audit Candidate 8]])), Audit[[#This Row],[Audit Candidate 8]]-Audit[[#This Row],[Candidate 8]], "")</f>
        <v/>
      </c>
      <c r="AM304" s="114" t="str">
        <f>IF(NOT(ISBLANK(Audit[[#This Row],[Audit Candidate 9]])), Audit[[#This Row],[Audit Candidate 9]]-Audit[[#This Row],[Candidate 9]], "")</f>
        <v/>
      </c>
      <c r="AN304" s="114" t="str">
        <f>IF(NOT(ISBLANK(Audit[[#This Row],[Audit Candidate 10]])), Audit[[#This Row],[Audit Candidate 10]]-Audit[[#This Row],[Candidate 10]], "")</f>
        <v/>
      </c>
      <c r="AO304" s="114" t="str">
        <f>IF(NOT(ISBLANK(Audit[[#This Row],[Audit Candidate 11]])), Audit[[#This Row],[Audit Candidate 11]]-Audit[[#This Row],[Candidate 11]], "")</f>
        <v/>
      </c>
      <c r="AP304" s="114" t="str">
        <f>IF(NOT(ISBLANK(Audit[[#This Row],[Audit Candidate 12]])), Audit[[#This Row],[Audit Candidate 12]]-Audit[[#This Row],[Candidate 12]], "")</f>
        <v/>
      </c>
      <c r="AQ304" s="114">
        <f>SUMIF(Audit[[#This Row],[Difference Winner]:[Difference Candidate 12]], "&gt;0")</f>
        <v>0</v>
      </c>
      <c r="AR304" s="114">
        <f>SUM(Audit[[#This Row],[Difference Winner]:[Difference Candidate 12]])</f>
        <v>0</v>
      </c>
      <c r="AS304" s="114">
        <f>IF(Audit[[#This Row],[Times p Drawn - With Replacement]]&gt;0, IF(Audit[[#This Row],[Canceled Differences]]&lt;0, Audit[[#This Row],[Max Differences]]+ABS(Audit[[#This Row],[Canceled Differences]]), Audit[[#This Row],[Max Differences]]), 0)</f>
        <v>0</v>
      </c>
      <c r="AT304" s="114">
        <f>'Sampling Data'!AB304</f>
        <v>7.2688199228873015E-3</v>
      </c>
      <c r="AU304" s="114">
        <f>IF(
      SUM(Audit[[#This Row],[Audit Losing Candidate]:[Audit Candidate 12]])
      &lt;&gt;0,
      (Audit[[#This Row],[Winning Candidate]]-Audit[[#This Row],[Losing Candidate]]-(Audit[[#This Row],[Audit Winning Candidate]]-Audit[[#This Row],[Audit Losing Candidate]]))/(Audit[[#Totals],[Winning Candidate]]-Audit[[#Totals],[Losing Candidate]]),
      0
)</f>
        <v>0</v>
      </c>
      <c r="AV30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4" s="114">
        <f>IF(Audit[[#This Row],[Max Relative Error (ep)]] = 0, 0, Audit[[#This Row],[Max Relative Error (ep)]]/Audit[[#This Row],[Error Bound (up) - Max. possible relative overstatement]])</f>
        <v>0</v>
      </c>
      <c r="BH30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4" s="114">
        <f t="shared" si="5"/>
        <v>1</v>
      </c>
      <c r="BJ304" s="114">
        <f>PRODUCT($BI$5:BI304)</f>
        <v>0.12461438450562042</v>
      </c>
      <c r="BK304" s="112">
        <f>1 - Audit[[#This Row],[K-M P Value]]</f>
        <v>0.87538561549437954</v>
      </c>
      <c r="BL304" s="114" t="str">
        <f>IF(Audit[[#This Row],[K-M P Value]]&gt;1-'General Info'!$B$12,"Continue", "Stop")</f>
        <v>Continue</v>
      </c>
      <c r="BM304" s="113" t="b">
        <f>IF(Audit[[#This Row],[Status - Continue or stop audit]] = "Continue", TRUE, IF(BL303 = "Continue", TRUE, FALSE))</f>
        <v>1</v>
      </c>
      <c r="BN304" s="113"/>
    </row>
    <row r="305" spans="1:66" ht="15" hidden="1" customHeight="1" x14ac:dyDescent="0.35">
      <c r="A305" s="114" t="str">
        <f>'Sampling Data'!AI305</f>
        <v/>
      </c>
      <c r="B305" s="114" t="str">
        <f>'Sampling Data'!A305</f>
        <v>1701 CIN 17-A   (ED)</v>
      </c>
      <c r="C305" s="114">
        <f>'Sampling Data'!B305</f>
        <v>69</v>
      </c>
      <c r="D305" s="114">
        <f>'Sampling Data'!C305</f>
        <v>2</v>
      </c>
      <c r="E305" s="115">
        <f>'Sampling Data'!D305</f>
        <v>1</v>
      </c>
      <c r="F305" s="115">
        <f>'Sampling Data'!E305</f>
        <v>0</v>
      </c>
      <c r="G305" s="115">
        <f>'Sampling Data'!F305</f>
        <v>0</v>
      </c>
      <c r="H305" s="115">
        <f>'Sampling Data'!G305</f>
        <v>0</v>
      </c>
      <c r="I305" s="115">
        <f>'Sampling Data'!H305</f>
        <v>0</v>
      </c>
      <c r="J305" s="115">
        <f>'Sampling Data'!I305</f>
        <v>0</v>
      </c>
      <c r="K305" s="115">
        <f>'Sampling Data'!J305</f>
        <v>0</v>
      </c>
      <c r="L305" s="115">
        <f>'Sampling Data'!K305</f>
        <v>0</v>
      </c>
      <c r="M305" s="115">
        <f>'Sampling Data'!L305</f>
        <v>0</v>
      </c>
      <c r="N305" s="115">
        <f>'Sampling Data'!M305</f>
        <v>0</v>
      </c>
      <c r="O305" s="114">
        <f>'Sampling Data'!N305</f>
        <v>0</v>
      </c>
      <c r="P305" s="114">
        <f>'Sampling Data'!O305</f>
        <v>0</v>
      </c>
      <c r="Q305" s="114">
        <f>'Sampling Data'!P305</f>
        <v>72</v>
      </c>
      <c r="R305" s="114">
        <f>'Sampling Data'!AJ305</f>
        <v>0</v>
      </c>
      <c r="S305" s="116"/>
      <c r="T305" s="116"/>
      <c r="U305" s="117"/>
      <c r="V305" s="117"/>
      <c r="W305" s="116"/>
      <c r="X305" s="116"/>
      <c r="Y305" s="116"/>
      <c r="Z305" s="116"/>
      <c r="AA305" s="15"/>
      <c r="AB305" s="15"/>
      <c r="AC305" s="15"/>
      <c r="AD305" s="15"/>
      <c r="AE305" s="118" t="str">
        <f>IF(NOT(ISBLANK(Audit[[#This Row],[Audit Winning Candidate]])), Audit[[#This Row],[Audit Winning Candidate]]-Audit[[#This Row],[Winning Candidate]], "")</f>
        <v/>
      </c>
      <c r="AF305" s="114" t="str">
        <f>IF(NOT(ISBLANK(Audit[[#This Row],[Audit Losing Candidate]])), Audit[[#This Row],[Audit Losing Candidate]]-Audit[[#This Row],[Losing Candidate]], "")</f>
        <v/>
      </c>
      <c r="AG305" s="114" t="str">
        <f>IF(NOT(ISBLANK(Audit[[#This Row],[Audit Candidate 3]])), Audit[[#This Row],[Audit Candidate 3]]-Audit[[#This Row],[Candidate 3]], "")</f>
        <v/>
      </c>
      <c r="AH305" s="114" t="str">
        <f>IF(NOT(ISBLANK(Audit[[#This Row],[Audit Candidate 4]])),Audit[[#This Row],[Audit Candidate 4]]-Audit[[#This Row],[Candidate 4]], "")</f>
        <v/>
      </c>
      <c r="AI305" s="114" t="str">
        <f>IF(NOT(ISBLANK(Audit[[#This Row],[Audit Candidate 5]])), Audit[[#This Row],[Audit Candidate 5]]-Audit[[#This Row],[Candidate 5]], "")</f>
        <v/>
      </c>
      <c r="AJ305" s="114" t="str">
        <f>IF(NOT(ISBLANK(Audit[[#This Row],[Audit Candidate 6]])), Audit[[#This Row],[Audit Candidate 6]]-Audit[[#This Row],[Candidate 6]], "")</f>
        <v/>
      </c>
      <c r="AK305" s="114" t="str">
        <f>IF(NOT(ISBLANK(Audit[[#This Row],[Audit Candidate 7]])), Audit[[#This Row],[Audit Candidate 7]]-Audit[[#This Row],[Candidate 7]], "")</f>
        <v/>
      </c>
      <c r="AL305" s="114" t="str">
        <f>IF(NOT(ISBLANK(Audit[[#This Row],[Audit Candidate 8]])), Audit[[#This Row],[Audit Candidate 8]]-Audit[[#This Row],[Candidate 8]], "")</f>
        <v/>
      </c>
      <c r="AM305" s="114" t="str">
        <f>IF(NOT(ISBLANK(Audit[[#This Row],[Audit Candidate 9]])), Audit[[#This Row],[Audit Candidate 9]]-Audit[[#This Row],[Candidate 9]], "")</f>
        <v/>
      </c>
      <c r="AN305" s="114" t="str">
        <f>IF(NOT(ISBLANK(Audit[[#This Row],[Audit Candidate 10]])), Audit[[#This Row],[Audit Candidate 10]]-Audit[[#This Row],[Candidate 10]], "")</f>
        <v/>
      </c>
      <c r="AO305" s="114" t="str">
        <f>IF(NOT(ISBLANK(Audit[[#This Row],[Audit Candidate 11]])), Audit[[#This Row],[Audit Candidate 11]]-Audit[[#This Row],[Candidate 11]], "")</f>
        <v/>
      </c>
      <c r="AP305" s="114" t="str">
        <f>IF(NOT(ISBLANK(Audit[[#This Row],[Audit Candidate 12]])), Audit[[#This Row],[Audit Candidate 12]]-Audit[[#This Row],[Candidate 12]], "")</f>
        <v/>
      </c>
      <c r="AQ305" s="114">
        <f>SUMIF(Audit[[#This Row],[Difference Winner]:[Difference Candidate 12]], "&gt;0")</f>
        <v>0</v>
      </c>
      <c r="AR305" s="114">
        <f>SUM(Audit[[#This Row],[Difference Winner]:[Difference Candidate 12]])</f>
        <v>0</v>
      </c>
      <c r="AS305" s="114">
        <f>IF(Audit[[#This Row],[Times p Drawn - With Replacement]]&gt;0, IF(Audit[[#This Row],[Canceled Differences]]&lt;0, Audit[[#This Row],[Max Differences]]+ABS(Audit[[#This Row],[Canceled Differences]]), Audit[[#This Row],[Max Differences]]), 0)</f>
        <v>0</v>
      </c>
      <c r="AT305" s="114">
        <f>'Sampling Data'!AB305</f>
        <v>8.7857910372289988E-3</v>
      </c>
      <c r="AU305" s="114">
        <f>IF(
      SUM(Audit[[#This Row],[Audit Losing Candidate]:[Audit Candidate 12]])
      &lt;&gt;0,
      (Audit[[#This Row],[Winning Candidate]]-Audit[[#This Row],[Losing Candidate]]-(Audit[[#This Row],[Audit Winning Candidate]]-Audit[[#This Row],[Audit Losing Candidate]]))/(Audit[[#Totals],[Winning Candidate]]-Audit[[#Totals],[Losing Candidate]]),
      0
)</f>
        <v>0</v>
      </c>
      <c r="AV30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5" s="114">
        <f>IF(Audit[[#This Row],[Max Relative Error (ep)]] = 0, 0, Audit[[#This Row],[Max Relative Error (ep)]]/Audit[[#This Row],[Error Bound (up) - Max. possible relative overstatement]])</f>
        <v>0</v>
      </c>
      <c r="BH30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5" s="114">
        <f t="shared" si="5"/>
        <v>1</v>
      </c>
      <c r="BJ305" s="114">
        <f>PRODUCT($BI$5:BI305)</f>
        <v>0.12461438450562042</v>
      </c>
      <c r="BK305" s="112">
        <f>1 - Audit[[#This Row],[K-M P Value]]</f>
        <v>0.87538561549437954</v>
      </c>
      <c r="BL305" s="114" t="str">
        <f>IF(Audit[[#This Row],[K-M P Value]]&gt;1-'General Info'!$B$12,"Continue", "Stop")</f>
        <v>Continue</v>
      </c>
      <c r="BM305" s="113" t="b">
        <f>IF(Audit[[#This Row],[Status - Continue or stop audit]] = "Continue", TRUE, IF(BL304 = "Continue", TRUE, FALSE))</f>
        <v>1</v>
      </c>
      <c r="BN305" s="113"/>
    </row>
    <row r="306" spans="1:66" ht="15" hidden="1" customHeight="1" x14ac:dyDescent="0.35">
      <c r="A306" s="114" t="str">
        <f>'Sampling Data'!AI306</f>
        <v/>
      </c>
      <c r="B306" s="114" t="str">
        <f>'Sampling Data'!A306</f>
        <v>1702 CIN 17-B   (ED)</v>
      </c>
      <c r="C306" s="114">
        <f>'Sampling Data'!B306</f>
        <v>79</v>
      </c>
      <c r="D306" s="114">
        <f>'Sampling Data'!C306</f>
        <v>8</v>
      </c>
      <c r="E306" s="115">
        <f>'Sampling Data'!D306</f>
        <v>0</v>
      </c>
      <c r="F306" s="115">
        <f>'Sampling Data'!E306</f>
        <v>0</v>
      </c>
      <c r="G306" s="115">
        <f>'Sampling Data'!F306</f>
        <v>0</v>
      </c>
      <c r="H306" s="115">
        <f>'Sampling Data'!G306</f>
        <v>0</v>
      </c>
      <c r="I306" s="115">
        <f>'Sampling Data'!H306</f>
        <v>0</v>
      </c>
      <c r="J306" s="115">
        <f>'Sampling Data'!I306</f>
        <v>0</v>
      </c>
      <c r="K306" s="115">
        <f>'Sampling Data'!J306</f>
        <v>0</v>
      </c>
      <c r="L306" s="115">
        <f>'Sampling Data'!K306</f>
        <v>0</v>
      </c>
      <c r="M306" s="115">
        <f>'Sampling Data'!L306</f>
        <v>0</v>
      </c>
      <c r="N306" s="115">
        <f>'Sampling Data'!M306</f>
        <v>0</v>
      </c>
      <c r="O306" s="114">
        <f>'Sampling Data'!N306</f>
        <v>0</v>
      </c>
      <c r="P306" s="114">
        <f>'Sampling Data'!O306</f>
        <v>0</v>
      </c>
      <c r="Q306" s="114">
        <f>'Sampling Data'!P306</f>
        <v>87</v>
      </c>
      <c r="R306" s="114">
        <f>'Sampling Data'!AJ306</f>
        <v>0</v>
      </c>
      <c r="S306" s="116"/>
      <c r="T306" s="116"/>
      <c r="U306" s="117"/>
      <c r="V306" s="117"/>
      <c r="W306" s="116"/>
      <c r="X306" s="116"/>
      <c r="Y306" s="116"/>
      <c r="Z306" s="116"/>
      <c r="AA306" s="15"/>
      <c r="AB306" s="15"/>
      <c r="AC306" s="15"/>
      <c r="AD306" s="15"/>
      <c r="AE306" s="118" t="str">
        <f>IF(NOT(ISBLANK(Audit[[#This Row],[Audit Winning Candidate]])), Audit[[#This Row],[Audit Winning Candidate]]-Audit[[#This Row],[Winning Candidate]], "")</f>
        <v/>
      </c>
      <c r="AF306" s="114" t="str">
        <f>IF(NOT(ISBLANK(Audit[[#This Row],[Audit Losing Candidate]])), Audit[[#This Row],[Audit Losing Candidate]]-Audit[[#This Row],[Losing Candidate]], "")</f>
        <v/>
      </c>
      <c r="AG306" s="114" t="str">
        <f>IF(NOT(ISBLANK(Audit[[#This Row],[Audit Candidate 3]])), Audit[[#This Row],[Audit Candidate 3]]-Audit[[#This Row],[Candidate 3]], "")</f>
        <v/>
      </c>
      <c r="AH306" s="114" t="str">
        <f>IF(NOT(ISBLANK(Audit[[#This Row],[Audit Candidate 4]])),Audit[[#This Row],[Audit Candidate 4]]-Audit[[#This Row],[Candidate 4]], "")</f>
        <v/>
      </c>
      <c r="AI306" s="114" t="str">
        <f>IF(NOT(ISBLANK(Audit[[#This Row],[Audit Candidate 5]])), Audit[[#This Row],[Audit Candidate 5]]-Audit[[#This Row],[Candidate 5]], "")</f>
        <v/>
      </c>
      <c r="AJ306" s="114" t="str">
        <f>IF(NOT(ISBLANK(Audit[[#This Row],[Audit Candidate 6]])), Audit[[#This Row],[Audit Candidate 6]]-Audit[[#This Row],[Candidate 6]], "")</f>
        <v/>
      </c>
      <c r="AK306" s="114" t="str">
        <f>IF(NOT(ISBLANK(Audit[[#This Row],[Audit Candidate 7]])), Audit[[#This Row],[Audit Candidate 7]]-Audit[[#This Row],[Candidate 7]], "")</f>
        <v/>
      </c>
      <c r="AL306" s="114" t="str">
        <f>IF(NOT(ISBLANK(Audit[[#This Row],[Audit Candidate 8]])), Audit[[#This Row],[Audit Candidate 8]]-Audit[[#This Row],[Candidate 8]], "")</f>
        <v/>
      </c>
      <c r="AM306" s="114" t="str">
        <f>IF(NOT(ISBLANK(Audit[[#This Row],[Audit Candidate 9]])), Audit[[#This Row],[Audit Candidate 9]]-Audit[[#This Row],[Candidate 9]], "")</f>
        <v/>
      </c>
      <c r="AN306" s="114" t="str">
        <f>IF(NOT(ISBLANK(Audit[[#This Row],[Audit Candidate 10]])), Audit[[#This Row],[Audit Candidate 10]]-Audit[[#This Row],[Candidate 10]], "")</f>
        <v/>
      </c>
      <c r="AO306" s="114" t="str">
        <f>IF(NOT(ISBLANK(Audit[[#This Row],[Audit Candidate 11]])), Audit[[#This Row],[Audit Candidate 11]]-Audit[[#This Row],[Candidate 11]], "")</f>
        <v/>
      </c>
      <c r="AP306" s="114" t="str">
        <f>IF(NOT(ISBLANK(Audit[[#This Row],[Audit Candidate 12]])), Audit[[#This Row],[Audit Candidate 12]]-Audit[[#This Row],[Candidate 12]], "")</f>
        <v/>
      </c>
      <c r="AQ306" s="114">
        <f>SUMIF(Audit[[#This Row],[Difference Winner]:[Difference Candidate 12]], "&gt;0")</f>
        <v>0</v>
      </c>
      <c r="AR306" s="114">
        <f>SUM(Audit[[#This Row],[Difference Winner]:[Difference Candidate 12]])</f>
        <v>0</v>
      </c>
      <c r="AS306" s="114">
        <f>IF(Audit[[#This Row],[Times p Drawn - With Replacement]]&gt;0, IF(Audit[[#This Row],[Canceled Differences]]&lt;0, Audit[[#This Row],[Max Differences]]+ABS(Audit[[#This Row],[Canceled Differences]]), Audit[[#This Row],[Max Differences]]), 0)</f>
        <v>0</v>
      </c>
      <c r="AT306" s="114">
        <f>'Sampling Data'!AB306</f>
        <v>9.98672650274951E-3</v>
      </c>
      <c r="AU306" s="114">
        <f>IF(
      SUM(Audit[[#This Row],[Audit Losing Candidate]:[Audit Candidate 12]])
      &lt;&gt;0,
      (Audit[[#This Row],[Winning Candidate]]-Audit[[#This Row],[Losing Candidate]]-(Audit[[#This Row],[Audit Winning Candidate]]-Audit[[#This Row],[Audit Losing Candidate]]))/(Audit[[#Totals],[Winning Candidate]]-Audit[[#Totals],[Losing Candidate]]),
      0
)</f>
        <v>0</v>
      </c>
      <c r="AV30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6" s="114">
        <f>IF(Audit[[#This Row],[Max Relative Error (ep)]] = 0, 0, Audit[[#This Row],[Max Relative Error (ep)]]/Audit[[#This Row],[Error Bound (up) - Max. possible relative overstatement]])</f>
        <v>0</v>
      </c>
      <c r="BH30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6" s="114">
        <f t="shared" si="5"/>
        <v>1</v>
      </c>
      <c r="BJ306" s="114">
        <f>PRODUCT($BI$5:BI306)</f>
        <v>0.12461438450562042</v>
      </c>
      <c r="BK306" s="112">
        <f>1 - Audit[[#This Row],[K-M P Value]]</f>
        <v>0.87538561549437954</v>
      </c>
      <c r="BL306" s="114" t="str">
        <f>IF(Audit[[#This Row],[K-M P Value]]&gt;1-'General Info'!$B$12,"Continue", "Stop")</f>
        <v>Continue</v>
      </c>
      <c r="BM306" s="113" t="b">
        <f>IF(Audit[[#This Row],[Status - Continue or stop audit]] = "Continue", TRUE, IF(BL305 = "Continue", TRUE, FALSE))</f>
        <v>1</v>
      </c>
      <c r="BN306" s="113"/>
    </row>
    <row r="307" spans="1:66" ht="15" hidden="1" customHeight="1" x14ac:dyDescent="0.35">
      <c r="A307" s="114" t="str">
        <f>'Sampling Data'!AI307</f>
        <v/>
      </c>
      <c r="B307" s="114" t="str">
        <f>'Sampling Data'!A307</f>
        <v>1703 CIN 17-C   (ED)</v>
      </c>
      <c r="C307" s="114">
        <f>'Sampling Data'!B307</f>
        <v>81</v>
      </c>
      <c r="D307" s="114">
        <f>'Sampling Data'!C307</f>
        <v>7</v>
      </c>
      <c r="E307" s="115">
        <f>'Sampling Data'!D307</f>
        <v>0</v>
      </c>
      <c r="F307" s="115">
        <f>'Sampling Data'!E307</f>
        <v>0</v>
      </c>
      <c r="G307" s="115">
        <f>'Sampling Data'!F307</f>
        <v>0</v>
      </c>
      <c r="H307" s="115">
        <f>'Sampling Data'!G307</f>
        <v>0</v>
      </c>
      <c r="I307" s="115">
        <f>'Sampling Data'!H307</f>
        <v>0</v>
      </c>
      <c r="J307" s="115">
        <f>'Sampling Data'!I307</f>
        <v>0</v>
      </c>
      <c r="K307" s="115">
        <f>'Sampling Data'!J307</f>
        <v>0</v>
      </c>
      <c r="L307" s="115">
        <f>'Sampling Data'!K307</f>
        <v>0</v>
      </c>
      <c r="M307" s="115">
        <f>'Sampling Data'!L307</f>
        <v>0</v>
      </c>
      <c r="N307" s="115">
        <f>'Sampling Data'!M307</f>
        <v>0</v>
      </c>
      <c r="O307" s="114">
        <f>'Sampling Data'!N307</f>
        <v>0</v>
      </c>
      <c r="P307" s="114">
        <f>'Sampling Data'!O307</f>
        <v>0</v>
      </c>
      <c r="Q307" s="114">
        <f>'Sampling Data'!P307</f>
        <v>88</v>
      </c>
      <c r="R307" s="114">
        <f>'Sampling Data'!AJ307</f>
        <v>0</v>
      </c>
      <c r="S307" s="116"/>
      <c r="T307" s="116"/>
      <c r="U307" s="117"/>
      <c r="V307" s="117"/>
      <c r="W307" s="116"/>
      <c r="X307" s="116"/>
      <c r="Y307" s="116"/>
      <c r="Z307" s="116"/>
      <c r="AA307" s="15"/>
      <c r="AB307" s="15"/>
      <c r="AC307" s="15"/>
      <c r="AD307" s="15"/>
      <c r="AE307" s="118" t="str">
        <f>IF(NOT(ISBLANK(Audit[[#This Row],[Audit Winning Candidate]])), Audit[[#This Row],[Audit Winning Candidate]]-Audit[[#This Row],[Winning Candidate]], "")</f>
        <v/>
      </c>
      <c r="AF307" s="114" t="str">
        <f>IF(NOT(ISBLANK(Audit[[#This Row],[Audit Losing Candidate]])), Audit[[#This Row],[Audit Losing Candidate]]-Audit[[#This Row],[Losing Candidate]], "")</f>
        <v/>
      </c>
      <c r="AG307" s="114" t="str">
        <f>IF(NOT(ISBLANK(Audit[[#This Row],[Audit Candidate 3]])), Audit[[#This Row],[Audit Candidate 3]]-Audit[[#This Row],[Candidate 3]], "")</f>
        <v/>
      </c>
      <c r="AH307" s="114" t="str">
        <f>IF(NOT(ISBLANK(Audit[[#This Row],[Audit Candidate 4]])),Audit[[#This Row],[Audit Candidate 4]]-Audit[[#This Row],[Candidate 4]], "")</f>
        <v/>
      </c>
      <c r="AI307" s="114" t="str">
        <f>IF(NOT(ISBLANK(Audit[[#This Row],[Audit Candidate 5]])), Audit[[#This Row],[Audit Candidate 5]]-Audit[[#This Row],[Candidate 5]], "")</f>
        <v/>
      </c>
      <c r="AJ307" s="114" t="str">
        <f>IF(NOT(ISBLANK(Audit[[#This Row],[Audit Candidate 6]])), Audit[[#This Row],[Audit Candidate 6]]-Audit[[#This Row],[Candidate 6]], "")</f>
        <v/>
      </c>
      <c r="AK307" s="114" t="str">
        <f>IF(NOT(ISBLANK(Audit[[#This Row],[Audit Candidate 7]])), Audit[[#This Row],[Audit Candidate 7]]-Audit[[#This Row],[Candidate 7]], "")</f>
        <v/>
      </c>
      <c r="AL307" s="114" t="str">
        <f>IF(NOT(ISBLANK(Audit[[#This Row],[Audit Candidate 8]])), Audit[[#This Row],[Audit Candidate 8]]-Audit[[#This Row],[Candidate 8]], "")</f>
        <v/>
      </c>
      <c r="AM307" s="114" t="str">
        <f>IF(NOT(ISBLANK(Audit[[#This Row],[Audit Candidate 9]])), Audit[[#This Row],[Audit Candidate 9]]-Audit[[#This Row],[Candidate 9]], "")</f>
        <v/>
      </c>
      <c r="AN307" s="114" t="str">
        <f>IF(NOT(ISBLANK(Audit[[#This Row],[Audit Candidate 10]])), Audit[[#This Row],[Audit Candidate 10]]-Audit[[#This Row],[Candidate 10]], "")</f>
        <v/>
      </c>
      <c r="AO307" s="114" t="str">
        <f>IF(NOT(ISBLANK(Audit[[#This Row],[Audit Candidate 11]])), Audit[[#This Row],[Audit Candidate 11]]-Audit[[#This Row],[Candidate 11]], "")</f>
        <v/>
      </c>
      <c r="AP307" s="114" t="str">
        <f>IF(NOT(ISBLANK(Audit[[#This Row],[Audit Candidate 12]])), Audit[[#This Row],[Audit Candidate 12]]-Audit[[#This Row],[Candidate 12]], "")</f>
        <v/>
      </c>
      <c r="AQ307" s="114">
        <f>SUMIF(Audit[[#This Row],[Difference Winner]:[Difference Candidate 12]], "&gt;0")</f>
        <v>0</v>
      </c>
      <c r="AR307" s="114">
        <f>SUM(Audit[[#This Row],[Difference Winner]:[Difference Candidate 12]])</f>
        <v>0</v>
      </c>
      <c r="AS307" s="114">
        <f>IF(Audit[[#This Row],[Times p Drawn - With Replacement]]&gt;0, IF(Audit[[#This Row],[Canceled Differences]]&lt;0, Audit[[#This Row],[Max Differences]]+ABS(Audit[[#This Row],[Canceled Differences]]), Audit[[#This Row],[Max Differences]]), 0)</f>
        <v>0</v>
      </c>
      <c r="AT307" s="114">
        <f>'Sampling Data'!AB307</f>
        <v>1.023955502180646E-2</v>
      </c>
      <c r="AU307" s="114">
        <f>IF(
      SUM(Audit[[#This Row],[Audit Losing Candidate]:[Audit Candidate 12]])
      &lt;&gt;0,
      (Audit[[#This Row],[Winning Candidate]]-Audit[[#This Row],[Losing Candidate]]-(Audit[[#This Row],[Audit Winning Candidate]]-Audit[[#This Row],[Audit Losing Candidate]]))/(Audit[[#Totals],[Winning Candidate]]-Audit[[#Totals],[Losing Candidate]]),
      0
)</f>
        <v>0</v>
      </c>
      <c r="AV30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7" s="114">
        <f>IF(Audit[[#This Row],[Max Relative Error (ep)]] = 0, 0, Audit[[#This Row],[Max Relative Error (ep)]]/Audit[[#This Row],[Error Bound (up) - Max. possible relative overstatement]])</f>
        <v>0</v>
      </c>
      <c r="BH30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7" s="114">
        <f t="shared" si="5"/>
        <v>1</v>
      </c>
      <c r="BJ307" s="114">
        <f>PRODUCT($BI$5:BI307)</f>
        <v>0.12461438450562042</v>
      </c>
      <c r="BK307" s="112">
        <f>1 - Audit[[#This Row],[K-M P Value]]</f>
        <v>0.87538561549437954</v>
      </c>
      <c r="BL307" s="114" t="str">
        <f>IF(Audit[[#This Row],[K-M P Value]]&gt;1-'General Info'!$B$12,"Continue", "Stop")</f>
        <v>Continue</v>
      </c>
      <c r="BM307" s="113" t="b">
        <f>IF(Audit[[#This Row],[Status - Continue or stop audit]] = "Continue", TRUE, IF(BL306 = "Continue", TRUE, FALSE))</f>
        <v>1</v>
      </c>
      <c r="BN307" s="113"/>
    </row>
    <row r="308" spans="1:66" ht="15" hidden="1" customHeight="1" x14ac:dyDescent="0.35">
      <c r="A308" s="114" t="str">
        <f>'Sampling Data'!AI308</f>
        <v/>
      </c>
      <c r="B308" s="114" t="str">
        <f>'Sampling Data'!A308</f>
        <v>1801 CIN 18-A   (ED)</v>
      </c>
      <c r="C308" s="114">
        <f>'Sampling Data'!B308</f>
        <v>70</v>
      </c>
      <c r="D308" s="114">
        <f>'Sampling Data'!C308</f>
        <v>9</v>
      </c>
      <c r="E308" s="115">
        <f>'Sampling Data'!D308</f>
        <v>1</v>
      </c>
      <c r="F308" s="115">
        <f>'Sampling Data'!E308</f>
        <v>0</v>
      </c>
      <c r="G308" s="115">
        <f>'Sampling Data'!F308</f>
        <v>0</v>
      </c>
      <c r="H308" s="115">
        <f>'Sampling Data'!G308</f>
        <v>0</v>
      </c>
      <c r="I308" s="115">
        <f>'Sampling Data'!H308</f>
        <v>0</v>
      </c>
      <c r="J308" s="115">
        <f>'Sampling Data'!I308</f>
        <v>0</v>
      </c>
      <c r="K308" s="115">
        <f>'Sampling Data'!J308</f>
        <v>0</v>
      </c>
      <c r="L308" s="115">
        <f>'Sampling Data'!K308</f>
        <v>0</v>
      </c>
      <c r="M308" s="115">
        <f>'Sampling Data'!L308</f>
        <v>0</v>
      </c>
      <c r="N308" s="115">
        <f>'Sampling Data'!M308</f>
        <v>0</v>
      </c>
      <c r="O308" s="114">
        <f>'Sampling Data'!N308</f>
        <v>0</v>
      </c>
      <c r="P308" s="114">
        <f>'Sampling Data'!O308</f>
        <v>2</v>
      </c>
      <c r="Q308" s="114">
        <f>'Sampling Data'!P308</f>
        <v>82</v>
      </c>
      <c r="R308" s="114">
        <f>'Sampling Data'!AJ308</f>
        <v>0</v>
      </c>
      <c r="S308" s="116"/>
      <c r="T308" s="116"/>
      <c r="U308" s="117"/>
      <c r="V308" s="117"/>
      <c r="W308" s="116"/>
      <c r="X308" s="116"/>
      <c r="Y308" s="116"/>
      <c r="Z308" s="116"/>
      <c r="AA308" s="15"/>
      <c r="AB308" s="15"/>
      <c r="AC308" s="15"/>
      <c r="AD308" s="15"/>
      <c r="AE308" s="118" t="str">
        <f>IF(NOT(ISBLANK(Audit[[#This Row],[Audit Winning Candidate]])), Audit[[#This Row],[Audit Winning Candidate]]-Audit[[#This Row],[Winning Candidate]], "")</f>
        <v/>
      </c>
      <c r="AF308" s="114" t="str">
        <f>IF(NOT(ISBLANK(Audit[[#This Row],[Audit Losing Candidate]])), Audit[[#This Row],[Audit Losing Candidate]]-Audit[[#This Row],[Losing Candidate]], "")</f>
        <v/>
      </c>
      <c r="AG308" s="114" t="str">
        <f>IF(NOT(ISBLANK(Audit[[#This Row],[Audit Candidate 3]])), Audit[[#This Row],[Audit Candidate 3]]-Audit[[#This Row],[Candidate 3]], "")</f>
        <v/>
      </c>
      <c r="AH308" s="114" t="str">
        <f>IF(NOT(ISBLANK(Audit[[#This Row],[Audit Candidate 4]])),Audit[[#This Row],[Audit Candidate 4]]-Audit[[#This Row],[Candidate 4]], "")</f>
        <v/>
      </c>
      <c r="AI308" s="114" t="str">
        <f>IF(NOT(ISBLANK(Audit[[#This Row],[Audit Candidate 5]])), Audit[[#This Row],[Audit Candidate 5]]-Audit[[#This Row],[Candidate 5]], "")</f>
        <v/>
      </c>
      <c r="AJ308" s="114" t="str">
        <f>IF(NOT(ISBLANK(Audit[[#This Row],[Audit Candidate 6]])), Audit[[#This Row],[Audit Candidate 6]]-Audit[[#This Row],[Candidate 6]], "")</f>
        <v/>
      </c>
      <c r="AK308" s="114" t="str">
        <f>IF(NOT(ISBLANK(Audit[[#This Row],[Audit Candidate 7]])), Audit[[#This Row],[Audit Candidate 7]]-Audit[[#This Row],[Candidate 7]], "")</f>
        <v/>
      </c>
      <c r="AL308" s="114" t="str">
        <f>IF(NOT(ISBLANK(Audit[[#This Row],[Audit Candidate 8]])), Audit[[#This Row],[Audit Candidate 8]]-Audit[[#This Row],[Candidate 8]], "")</f>
        <v/>
      </c>
      <c r="AM308" s="114" t="str">
        <f>IF(NOT(ISBLANK(Audit[[#This Row],[Audit Candidate 9]])), Audit[[#This Row],[Audit Candidate 9]]-Audit[[#This Row],[Candidate 9]], "")</f>
        <v/>
      </c>
      <c r="AN308" s="114" t="str">
        <f>IF(NOT(ISBLANK(Audit[[#This Row],[Audit Candidate 10]])), Audit[[#This Row],[Audit Candidate 10]]-Audit[[#This Row],[Candidate 10]], "")</f>
        <v/>
      </c>
      <c r="AO308" s="114" t="str">
        <f>IF(NOT(ISBLANK(Audit[[#This Row],[Audit Candidate 11]])), Audit[[#This Row],[Audit Candidate 11]]-Audit[[#This Row],[Candidate 11]], "")</f>
        <v/>
      </c>
      <c r="AP308" s="114" t="str">
        <f>IF(NOT(ISBLANK(Audit[[#This Row],[Audit Candidate 12]])), Audit[[#This Row],[Audit Candidate 12]]-Audit[[#This Row],[Candidate 12]], "")</f>
        <v/>
      </c>
      <c r="AQ308" s="114">
        <f>SUMIF(Audit[[#This Row],[Difference Winner]:[Difference Candidate 12]], "&gt;0")</f>
        <v>0</v>
      </c>
      <c r="AR308" s="114">
        <f>SUM(Audit[[#This Row],[Difference Winner]:[Difference Candidate 12]])</f>
        <v>0</v>
      </c>
      <c r="AS308" s="114">
        <f>IF(Audit[[#This Row],[Times p Drawn - With Replacement]]&gt;0, IF(Audit[[#This Row],[Canceled Differences]]&lt;0, Audit[[#This Row],[Max Differences]]+ABS(Audit[[#This Row],[Canceled Differences]]), Audit[[#This Row],[Max Differences]]), 0)</f>
        <v>0</v>
      </c>
      <c r="AT308" s="114">
        <f>'Sampling Data'!AB308</f>
        <v>9.0386195562859491E-3</v>
      </c>
      <c r="AU308" s="114">
        <f>IF(
      SUM(Audit[[#This Row],[Audit Losing Candidate]:[Audit Candidate 12]])
      &lt;&gt;0,
      (Audit[[#This Row],[Winning Candidate]]-Audit[[#This Row],[Losing Candidate]]-(Audit[[#This Row],[Audit Winning Candidate]]-Audit[[#This Row],[Audit Losing Candidate]]))/(Audit[[#Totals],[Winning Candidate]]-Audit[[#Totals],[Losing Candidate]]),
      0
)</f>
        <v>0</v>
      </c>
      <c r="AV30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8" s="114">
        <f>IF(Audit[[#This Row],[Max Relative Error (ep)]] = 0, 0, Audit[[#This Row],[Max Relative Error (ep)]]/Audit[[#This Row],[Error Bound (up) - Max. possible relative overstatement]])</f>
        <v>0</v>
      </c>
      <c r="BH30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8" s="114">
        <f t="shared" si="5"/>
        <v>1</v>
      </c>
      <c r="BJ308" s="114">
        <f>PRODUCT($BI$5:BI308)</f>
        <v>0.12461438450562042</v>
      </c>
      <c r="BK308" s="112">
        <f>1 - Audit[[#This Row],[K-M P Value]]</f>
        <v>0.87538561549437954</v>
      </c>
      <c r="BL308" s="114" t="str">
        <f>IF(Audit[[#This Row],[K-M P Value]]&gt;1-'General Info'!$B$12,"Continue", "Stop")</f>
        <v>Continue</v>
      </c>
      <c r="BM308" s="113" t="b">
        <f>IF(Audit[[#This Row],[Status - Continue or stop audit]] = "Continue", TRUE, IF(BL307 = "Continue", TRUE, FALSE))</f>
        <v>1</v>
      </c>
      <c r="BN308" s="113"/>
    </row>
    <row r="309" spans="1:66" ht="15" hidden="1" customHeight="1" x14ac:dyDescent="0.35">
      <c r="A309" s="114" t="str">
        <f>'Sampling Data'!AI309</f>
        <v/>
      </c>
      <c r="B309" s="114" t="str">
        <f>'Sampling Data'!A309</f>
        <v>1802 CIN 18-B   (ED)</v>
      </c>
      <c r="C309" s="114">
        <f>'Sampling Data'!B309</f>
        <v>23</v>
      </c>
      <c r="D309" s="114">
        <f>'Sampling Data'!C309</f>
        <v>3</v>
      </c>
      <c r="E309" s="115">
        <f>'Sampling Data'!D309</f>
        <v>4</v>
      </c>
      <c r="F309" s="115">
        <f>'Sampling Data'!E309</f>
        <v>0</v>
      </c>
      <c r="G309" s="115">
        <f>'Sampling Data'!F309</f>
        <v>0</v>
      </c>
      <c r="H309" s="115">
        <f>'Sampling Data'!G309</f>
        <v>0</v>
      </c>
      <c r="I309" s="115">
        <f>'Sampling Data'!H309</f>
        <v>0</v>
      </c>
      <c r="J309" s="115">
        <f>'Sampling Data'!I309</f>
        <v>0</v>
      </c>
      <c r="K309" s="115">
        <f>'Sampling Data'!J309</f>
        <v>0</v>
      </c>
      <c r="L309" s="115">
        <f>'Sampling Data'!K309</f>
        <v>0</v>
      </c>
      <c r="M309" s="115">
        <f>'Sampling Data'!L309</f>
        <v>0</v>
      </c>
      <c r="N309" s="115">
        <f>'Sampling Data'!M309</f>
        <v>0</v>
      </c>
      <c r="O309" s="114">
        <f>'Sampling Data'!N309</f>
        <v>0</v>
      </c>
      <c r="P309" s="114">
        <f>'Sampling Data'!O309</f>
        <v>0</v>
      </c>
      <c r="Q309" s="114">
        <f>'Sampling Data'!P309</f>
        <v>30</v>
      </c>
      <c r="R309" s="114">
        <f>'Sampling Data'!AJ309</f>
        <v>0</v>
      </c>
      <c r="S309" s="116"/>
      <c r="T309" s="116"/>
      <c r="U309" s="117"/>
      <c r="V309" s="117"/>
      <c r="W309" s="116"/>
      <c r="X309" s="116"/>
      <c r="Y309" s="116"/>
      <c r="Z309" s="116"/>
      <c r="AA309" s="15"/>
      <c r="AB309" s="15"/>
      <c r="AC309" s="15"/>
      <c r="AD309" s="15"/>
      <c r="AE309" s="118" t="str">
        <f>IF(NOT(ISBLANK(Audit[[#This Row],[Audit Winning Candidate]])), Audit[[#This Row],[Audit Winning Candidate]]-Audit[[#This Row],[Winning Candidate]], "")</f>
        <v/>
      </c>
      <c r="AF309" s="114" t="str">
        <f>IF(NOT(ISBLANK(Audit[[#This Row],[Audit Losing Candidate]])), Audit[[#This Row],[Audit Losing Candidate]]-Audit[[#This Row],[Losing Candidate]], "")</f>
        <v/>
      </c>
      <c r="AG309" s="114" t="str">
        <f>IF(NOT(ISBLANK(Audit[[#This Row],[Audit Candidate 3]])), Audit[[#This Row],[Audit Candidate 3]]-Audit[[#This Row],[Candidate 3]], "")</f>
        <v/>
      </c>
      <c r="AH309" s="114" t="str">
        <f>IF(NOT(ISBLANK(Audit[[#This Row],[Audit Candidate 4]])),Audit[[#This Row],[Audit Candidate 4]]-Audit[[#This Row],[Candidate 4]], "")</f>
        <v/>
      </c>
      <c r="AI309" s="114" t="str">
        <f>IF(NOT(ISBLANK(Audit[[#This Row],[Audit Candidate 5]])), Audit[[#This Row],[Audit Candidate 5]]-Audit[[#This Row],[Candidate 5]], "")</f>
        <v/>
      </c>
      <c r="AJ309" s="114" t="str">
        <f>IF(NOT(ISBLANK(Audit[[#This Row],[Audit Candidate 6]])), Audit[[#This Row],[Audit Candidate 6]]-Audit[[#This Row],[Candidate 6]], "")</f>
        <v/>
      </c>
      <c r="AK309" s="114" t="str">
        <f>IF(NOT(ISBLANK(Audit[[#This Row],[Audit Candidate 7]])), Audit[[#This Row],[Audit Candidate 7]]-Audit[[#This Row],[Candidate 7]], "")</f>
        <v/>
      </c>
      <c r="AL309" s="114" t="str">
        <f>IF(NOT(ISBLANK(Audit[[#This Row],[Audit Candidate 8]])), Audit[[#This Row],[Audit Candidate 8]]-Audit[[#This Row],[Candidate 8]], "")</f>
        <v/>
      </c>
      <c r="AM309" s="114" t="str">
        <f>IF(NOT(ISBLANK(Audit[[#This Row],[Audit Candidate 9]])), Audit[[#This Row],[Audit Candidate 9]]-Audit[[#This Row],[Candidate 9]], "")</f>
        <v/>
      </c>
      <c r="AN309" s="114" t="str">
        <f>IF(NOT(ISBLANK(Audit[[#This Row],[Audit Candidate 10]])), Audit[[#This Row],[Audit Candidate 10]]-Audit[[#This Row],[Candidate 10]], "")</f>
        <v/>
      </c>
      <c r="AO309" s="114" t="str">
        <f>IF(NOT(ISBLANK(Audit[[#This Row],[Audit Candidate 11]])), Audit[[#This Row],[Audit Candidate 11]]-Audit[[#This Row],[Candidate 11]], "")</f>
        <v/>
      </c>
      <c r="AP309" s="114" t="str">
        <f>IF(NOT(ISBLANK(Audit[[#This Row],[Audit Candidate 12]])), Audit[[#This Row],[Audit Candidate 12]]-Audit[[#This Row],[Candidate 12]], "")</f>
        <v/>
      </c>
      <c r="AQ309" s="114">
        <f>SUMIF(Audit[[#This Row],[Difference Winner]:[Difference Candidate 12]], "&gt;0")</f>
        <v>0</v>
      </c>
      <c r="AR309" s="114">
        <f>SUM(Audit[[#This Row],[Difference Winner]:[Difference Candidate 12]])</f>
        <v>0</v>
      </c>
      <c r="AS309" s="114">
        <f>IF(Audit[[#This Row],[Times p Drawn - With Replacement]]&gt;0, IF(Audit[[#This Row],[Canceled Differences]]&lt;0, Audit[[#This Row],[Max Differences]]+ABS(Audit[[#This Row],[Canceled Differences]]), Audit[[#This Row],[Max Differences]]), 0)</f>
        <v>0</v>
      </c>
      <c r="AT309" s="114">
        <f>'Sampling Data'!AB309</f>
        <v>3.1603564882118703E-3</v>
      </c>
      <c r="AU309" s="114">
        <f>IF(
      SUM(Audit[[#This Row],[Audit Losing Candidate]:[Audit Candidate 12]])
      &lt;&gt;0,
      (Audit[[#This Row],[Winning Candidate]]-Audit[[#This Row],[Losing Candidate]]-(Audit[[#This Row],[Audit Winning Candidate]]-Audit[[#This Row],[Audit Losing Candidate]]))/(Audit[[#Totals],[Winning Candidate]]-Audit[[#Totals],[Losing Candidate]]),
      0
)</f>
        <v>0</v>
      </c>
      <c r="AV30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9" s="114">
        <f>IF(Audit[[#This Row],[Max Relative Error (ep)]] = 0, 0, Audit[[#This Row],[Max Relative Error (ep)]]/Audit[[#This Row],[Error Bound (up) - Max. possible relative overstatement]])</f>
        <v>0</v>
      </c>
      <c r="BH30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09" s="114">
        <f t="shared" si="5"/>
        <v>1</v>
      </c>
      <c r="BJ309" s="114">
        <f>PRODUCT($BI$5:BI309)</f>
        <v>0.12461438450562042</v>
      </c>
      <c r="BK309" s="112">
        <f>1 - Audit[[#This Row],[K-M P Value]]</f>
        <v>0.87538561549437954</v>
      </c>
      <c r="BL309" s="114" t="str">
        <f>IF(Audit[[#This Row],[K-M P Value]]&gt;1-'General Info'!$B$12,"Continue", "Stop")</f>
        <v>Continue</v>
      </c>
      <c r="BM309" s="113" t="b">
        <f>IF(Audit[[#This Row],[Status - Continue or stop audit]] = "Continue", TRUE, IF(BL308 = "Continue", TRUE, FALSE))</f>
        <v>1</v>
      </c>
      <c r="BN309" s="113"/>
    </row>
    <row r="310" spans="1:66" ht="15" hidden="1" customHeight="1" x14ac:dyDescent="0.35">
      <c r="A310" s="114" t="str">
        <f>'Sampling Data'!AI310</f>
        <v/>
      </c>
      <c r="B310" s="114" t="str">
        <f>'Sampling Data'!A310</f>
        <v>1901 CIN 19-A   (ED)</v>
      </c>
      <c r="C310" s="114">
        <f>'Sampling Data'!B310</f>
        <v>60</v>
      </c>
      <c r="D310" s="114">
        <f>'Sampling Data'!C310</f>
        <v>29</v>
      </c>
      <c r="E310" s="115">
        <f>'Sampling Data'!D310</f>
        <v>6</v>
      </c>
      <c r="F310" s="115">
        <f>'Sampling Data'!E310</f>
        <v>0</v>
      </c>
      <c r="G310" s="115">
        <f>'Sampling Data'!F310</f>
        <v>0</v>
      </c>
      <c r="H310" s="115">
        <f>'Sampling Data'!G310</f>
        <v>0</v>
      </c>
      <c r="I310" s="115">
        <f>'Sampling Data'!H310</f>
        <v>0</v>
      </c>
      <c r="J310" s="115">
        <f>'Sampling Data'!I310</f>
        <v>0</v>
      </c>
      <c r="K310" s="115">
        <f>'Sampling Data'!J310</f>
        <v>0</v>
      </c>
      <c r="L310" s="115">
        <f>'Sampling Data'!K310</f>
        <v>0</v>
      </c>
      <c r="M310" s="115">
        <f>'Sampling Data'!L310</f>
        <v>0</v>
      </c>
      <c r="N310" s="115">
        <f>'Sampling Data'!M310</f>
        <v>0</v>
      </c>
      <c r="O310" s="114">
        <f>'Sampling Data'!N310</f>
        <v>0</v>
      </c>
      <c r="P310" s="114">
        <f>'Sampling Data'!O310</f>
        <v>0</v>
      </c>
      <c r="Q310" s="114">
        <f>'Sampling Data'!P310</f>
        <v>95</v>
      </c>
      <c r="R310" s="114">
        <f>'Sampling Data'!AJ310</f>
        <v>0</v>
      </c>
      <c r="S310" s="116"/>
      <c r="T310" s="116"/>
      <c r="U310" s="117"/>
      <c r="V310" s="117"/>
      <c r="W310" s="116"/>
      <c r="X310" s="116"/>
      <c r="Y310" s="116"/>
      <c r="Z310" s="116"/>
      <c r="AA310" s="15"/>
      <c r="AB310" s="15"/>
      <c r="AC310" s="15"/>
      <c r="AD310" s="15"/>
      <c r="AE310" s="118" t="str">
        <f>IF(NOT(ISBLANK(Audit[[#This Row],[Audit Winning Candidate]])), Audit[[#This Row],[Audit Winning Candidate]]-Audit[[#This Row],[Winning Candidate]], "")</f>
        <v/>
      </c>
      <c r="AF310" s="114" t="str">
        <f>IF(NOT(ISBLANK(Audit[[#This Row],[Audit Losing Candidate]])), Audit[[#This Row],[Audit Losing Candidate]]-Audit[[#This Row],[Losing Candidate]], "")</f>
        <v/>
      </c>
      <c r="AG310" s="114" t="str">
        <f>IF(NOT(ISBLANK(Audit[[#This Row],[Audit Candidate 3]])), Audit[[#This Row],[Audit Candidate 3]]-Audit[[#This Row],[Candidate 3]], "")</f>
        <v/>
      </c>
      <c r="AH310" s="114" t="str">
        <f>IF(NOT(ISBLANK(Audit[[#This Row],[Audit Candidate 4]])),Audit[[#This Row],[Audit Candidate 4]]-Audit[[#This Row],[Candidate 4]], "")</f>
        <v/>
      </c>
      <c r="AI310" s="114" t="str">
        <f>IF(NOT(ISBLANK(Audit[[#This Row],[Audit Candidate 5]])), Audit[[#This Row],[Audit Candidate 5]]-Audit[[#This Row],[Candidate 5]], "")</f>
        <v/>
      </c>
      <c r="AJ310" s="114" t="str">
        <f>IF(NOT(ISBLANK(Audit[[#This Row],[Audit Candidate 6]])), Audit[[#This Row],[Audit Candidate 6]]-Audit[[#This Row],[Candidate 6]], "")</f>
        <v/>
      </c>
      <c r="AK310" s="114" t="str">
        <f>IF(NOT(ISBLANK(Audit[[#This Row],[Audit Candidate 7]])), Audit[[#This Row],[Audit Candidate 7]]-Audit[[#This Row],[Candidate 7]], "")</f>
        <v/>
      </c>
      <c r="AL310" s="114" t="str">
        <f>IF(NOT(ISBLANK(Audit[[#This Row],[Audit Candidate 8]])), Audit[[#This Row],[Audit Candidate 8]]-Audit[[#This Row],[Candidate 8]], "")</f>
        <v/>
      </c>
      <c r="AM310" s="114" t="str">
        <f>IF(NOT(ISBLANK(Audit[[#This Row],[Audit Candidate 9]])), Audit[[#This Row],[Audit Candidate 9]]-Audit[[#This Row],[Candidate 9]], "")</f>
        <v/>
      </c>
      <c r="AN310" s="114" t="str">
        <f>IF(NOT(ISBLANK(Audit[[#This Row],[Audit Candidate 10]])), Audit[[#This Row],[Audit Candidate 10]]-Audit[[#This Row],[Candidate 10]], "")</f>
        <v/>
      </c>
      <c r="AO310" s="114" t="str">
        <f>IF(NOT(ISBLANK(Audit[[#This Row],[Audit Candidate 11]])), Audit[[#This Row],[Audit Candidate 11]]-Audit[[#This Row],[Candidate 11]], "")</f>
        <v/>
      </c>
      <c r="AP310" s="114" t="str">
        <f>IF(NOT(ISBLANK(Audit[[#This Row],[Audit Candidate 12]])), Audit[[#This Row],[Audit Candidate 12]]-Audit[[#This Row],[Candidate 12]], "")</f>
        <v/>
      </c>
      <c r="AQ310" s="114">
        <f>SUMIF(Audit[[#This Row],[Difference Winner]:[Difference Candidate 12]], "&gt;0")</f>
        <v>0</v>
      </c>
      <c r="AR310" s="114">
        <f>SUM(Audit[[#This Row],[Difference Winner]:[Difference Candidate 12]])</f>
        <v>0</v>
      </c>
      <c r="AS310" s="114">
        <f>IF(Audit[[#This Row],[Times p Drawn - With Replacement]]&gt;0, IF(Audit[[#This Row],[Canceled Differences]]&lt;0, Audit[[#This Row],[Max Differences]]+ABS(Audit[[#This Row],[Canceled Differences]]), Audit[[#This Row],[Max Differences]]), 0)</f>
        <v>0</v>
      </c>
      <c r="AT310" s="114">
        <f>'Sampling Data'!AB310</f>
        <v>8.4104764055091437E-3</v>
      </c>
      <c r="AU310" s="114">
        <f>IF(
      SUM(Audit[[#This Row],[Audit Losing Candidate]:[Audit Candidate 12]])
      &lt;&gt;0,
      (Audit[[#This Row],[Winning Candidate]]-Audit[[#This Row],[Losing Candidate]]-(Audit[[#This Row],[Audit Winning Candidate]]-Audit[[#This Row],[Audit Losing Candidate]]))/(Audit[[#Totals],[Winning Candidate]]-Audit[[#Totals],[Losing Candidate]]),
      0
)</f>
        <v>0</v>
      </c>
      <c r="AV31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0" s="114">
        <f>IF(Audit[[#This Row],[Max Relative Error (ep)]] = 0, 0, Audit[[#This Row],[Max Relative Error (ep)]]/Audit[[#This Row],[Error Bound (up) - Max. possible relative overstatement]])</f>
        <v>0</v>
      </c>
      <c r="BH31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0" s="114">
        <f t="shared" si="5"/>
        <v>1</v>
      </c>
      <c r="BJ310" s="114">
        <f>PRODUCT($BI$5:BI310)</f>
        <v>0.12461438450562042</v>
      </c>
      <c r="BK310" s="112">
        <f>1 - Audit[[#This Row],[K-M P Value]]</f>
        <v>0.87538561549437954</v>
      </c>
      <c r="BL310" s="114" t="str">
        <f>IF(Audit[[#This Row],[K-M P Value]]&gt;1-'General Info'!$B$12,"Continue", "Stop")</f>
        <v>Continue</v>
      </c>
      <c r="BM310" s="113" t="b">
        <f>IF(Audit[[#This Row],[Status - Continue or stop audit]] = "Continue", TRUE, IF(BL309 = "Continue", TRUE, FALSE))</f>
        <v>1</v>
      </c>
      <c r="BN310" s="113"/>
    </row>
    <row r="311" spans="1:66" ht="15" hidden="1" customHeight="1" x14ac:dyDescent="0.35">
      <c r="A311" s="114" t="str">
        <f>'Sampling Data'!AI311</f>
        <v/>
      </c>
      <c r="B311" s="114" t="str">
        <f>'Sampling Data'!A311</f>
        <v>1902 CIN 19-B   (ED)</v>
      </c>
      <c r="C311" s="114">
        <f>'Sampling Data'!B311</f>
        <v>70</v>
      </c>
      <c r="D311" s="114">
        <f>'Sampling Data'!C311</f>
        <v>80</v>
      </c>
      <c r="E311" s="115">
        <f>'Sampling Data'!D311</f>
        <v>8</v>
      </c>
      <c r="F311" s="115">
        <f>'Sampling Data'!E311</f>
        <v>0</v>
      </c>
      <c r="G311" s="115">
        <f>'Sampling Data'!F311</f>
        <v>0</v>
      </c>
      <c r="H311" s="115">
        <f>'Sampling Data'!G311</f>
        <v>0</v>
      </c>
      <c r="I311" s="115">
        <f>'Sampling Data'!H311</f>
        <v>0</v>
      </c>
      <c r="J311" s="115">
        <f>'Sampling Data'!I311</f>
        <v>0</v>
      </c>
      <c r="K311" s="115">
        <f>'Sampling Data'!J311</f>
        <v>0</v>
      </c>
      <c r="L311" s="115">
        <f>'Sampling Data'!K311</f>
        <v>0</v>
      </c>
      <c r="M311" s="115">
        <f>'Sampling Data'!L311</f>
        <v>0</v>
      </c>
      <c r="N311" s="115">
        <f>'Sampling Data'!M311</f>
        <v>0</v>
      </c>
      <c r="O311" s="114">
        <f>'Sampling Data'!N311</f>
        <v>0</v>
      </c>
      <c r="P311" s="114">
        <f>'Sampling Data'!O311</f>
        <v>2</v>
      </c>
      <c r="Q311" s="114">
        <f>'Sampling Data'!P311</f>
        <v>160</v>
      </c>
      <c r="R311" s="114">
        <f>'Sampling Data'!AJ311</f>
        <v>0</v>
      </c>
      <c r="S311" s="116"/>
      <c r="T311" s="116"/>
      <c r="U311" s="117"/>
      <c r="V311" s="117"/>
      <c r="W311" s="116"/>
      <c r="X311" s="116"/>
      <c r="Y311" s="116"/>
      <c r="Z311" s="116"/>
      <c r="AA311" s="15"/>
      <c r="AB311" s="15"/>
      <c r="AC311" s="15"/>
      <c r="AD311" s="15"/>
      <c r="AE311" s="118" t="str">
        <f>IF(NOT(ISBLANK(Audit[[#This Row],[Audit Winning Candidate]])), Audit[[#This Row],[Audit Winning Candidate]]-Audit[[#This Row],[Winning Candidate]], "")</f>
        <v/>
      </c>
      <c r="AF311" s="114" t="str">
        <f>IF(NOT(ISBLANK(Audit[[#This Row],[Audit Losing Candidate]])), Audit[[#This Row],[Audit Losing Candidate]]-Audit[[#This Row],[Losing Candidate]], "")</f>
        <v/>
      </c>
      <c r="AG311" s="114" t="str">
        <f>IF(NOT(ISBLANK(Audit[[#This Row],[Audit Candidate 3]])), Audit[[#This Row],[Audit Candidate 3]]-Audit[[#This Row],[Candidate 3]], "")</f>
        <v/>
      </c>
      <c r="AH311" s="114" t="str">
        <f>IF(NOT(ISBLANK(Audit[[#This Row],[Audit Candidate 4]])),Audit[[#This Row],[Audit Candidate 4]]-Audit[[#This Row],[Candidate 4]], "")</f>
        <v/>
      </c>
      <c r="AI311" s="114" t="str">
        <f>IF(NOT(ISBLANK(Audit[[#This Row],[Audit Candidate 5]])), Audit[[#This Row],[Audit Candidate 5]]-Audit[[#This Row],[Candidate 5]], "")</f>
        <v/>
      </c>
      <c r="AJ311" s="114" t="str">
        <f>IF(NOT(ISBLANK(Audit[[#This Row],[Audit Candidate 6]])), Audit[[#This Row],[Audit Candidate 6]]-Audit[[#This Row],[Candidate 6]], "")</f>
        <v/>
      </c>
      <c r="AK311" s="114" t="str">
        <f>IF(NOT(ISBLANK(Audit[[#This Row],[Audit Candidate 7]])), Audit[[#This Row],[Audit Candidate 7]]-Audit[[#This Row],[Candidate 7]], "")</f>
        <v/>
      </c>
      <c r="AL311" s="114" t="str">
        <f>IF(NOT(ISBLANK(Audit[[#This Row],[Audit Candidate 8]])), Audit[[#This Row],[Audit Candidate 8]]-Audit[[#This Row],[Candidate 8]], "")</f>
        <v/>
      </c>
      <c r="AM311" s="114" t="str">
        <f>IF(NOT(ISBLANK(Audit[[#This Row],[Audit Candidate 9]])), Audit[[#This Row],[Audit Candidate 9]]-Audit[[#This Row],[Candidate 9]], "")</f>
        <v/>
      </c>
      <c r="AN311" s="114" t="str">
        <f>IF(NOT(ISBLANK(Audit[[#This Row],[Audit Candidate 10]])), Audit[[#This Row],[Audit Candidate 10]]-Audit[[#This Row],[Candidate 10]], "")</f>
        <v/>
      </c>
      <c r="AO311" s="114" t="str">
        <f>IF(NOT(ISBLANK(Audit[[#This Row],[Audit Candidate 11]])), Audit[[#This Row],[Audit Candidate 11]]-Audit[[#This Row],[Candidate 11]], "")</f>
        <v/>
      </c>
      <c r="AP311" s="114" t="str">
        <f>IF(NOT(ISBLANK(Audit[[#This Row],[Audit Candidate 12]])), Audit[[#This Row],[Audit Candidate 12]]-Audit[[#This Row],[Candidate 12]], "")</f>
        <v/>
      </c>
      <c r="AQ311" s="114">
        <f>SUMIF(Audit[[#This Row],[Difference Winner]:[Difference Candidate 12]], "&gt;0")</f>
        <v>0</v>
      </c>
      <c r="AR311" s="114">
        <f>SUM(Audit[[#This Row],[Difference Winner]:[Difference Candidate 12]])</f>
        <v>0</v>
      </c>
      <c r="AS311" s="114">
        <f>IF(Audit[[#This Row],[Times p Drawn - With Replacement]]&gt;0, IF(Audit[[#This Row],[Canceled Differences]]&lt;0, Audit[[#This Row],[Max Differences]]+ABS(Audit[[#This Row],[Canceled Differences]]), Audit[[#This Row],[Max Differences]]), 0)</f>
        <v>0</v>
      </c>
      <c r="AT311" s="114">
        <f>'Sampling Data'!AB311</f>
        <v>1.25310453827049E-2</v>
      </c>
      <c r="AU311" s="114">
        <f>IF(
      SUM(Audit[[#This Row],[Audit Losing Candidate]:[Audit Candidate 12]])
      &lt;&gt;0,
      (Audit[[#This Row],[Winning Candidate]]-Audit[[#This Row],[Losing Candidate]]-(Audit[[#This Row],[Audit Winning Candidate]]-Audit[[#This Row],[Audit Losing Candidate]]))/(Audit[[#Totals],[Winning Candidate]]-Audit[[#Totals],[Losing Candidate]]),
      0
)</f>
        <v>0</v>
      </c>
      <c r="AV31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1" s="114">
        <f>IF(Audit[[#This Row],[Max Relative Error (ep)]] = 0, 0, Audit[[#This Row],[Max Relative Error (ep)]]/Audit[[#This Row],[Error Bound (up) - Max. possible relative overstatement]])</f>
        <v>0</v>
      </c>
      <c r="BH31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1" s="114">
        <f t="shared" si="5"/>
        <v>1</v>
      </c>
      <c r="BJ311" s="114">
        <f>PRODUCT($BI$5:BI311)</f>
        <v>0.12461438450562042</v>
      </c>
      <c r="BK311" s="112">
        <f>1 - Audit[[#This Row],[K-M P Value]]</f>
        <v>0.87538561549437954</v>
      </c>
      <c r="BL311" s="114" t="str">
        <f>IF(Audit[[#This Row],[K-M P Value]]&gt;1-'General Info'!$B$12,"Continue", "Stop")</f>
        <v>Continue</v>
      </c>
      <c r="BM311" s="113" t="b">
        <f>IF(Audit[[#This Row],[Status - Continue or stop audit]] = "Continue", TRUE, IF(BL310 = "Continue", TRUE, FALSE))</f>
        <v>1</v>
      </c>
      <c r="BN311" s="113"/>
    </row>
    <row r="312" spans="1:66" ht="15" hidden="1" customHeight="1" x14ac:dyDescent="0.35">
      <c r="A312" s="114" t="str">
        <f>'Sampling Data'!AI312</f>
        <v/>
      </c>
      <c r="B312" s="114" t="str">
        <f>'Sampling Data'!A312</f>
        <v>1903 CIN 19-C   (ED)</v>
      </c>
      <c r="C312" s="114">
        <f>'Sampling Data'!B312</f>
        <v>35</v>
      </c>
      <c r="D312" s="114">
        <f>'Sampling Data'!C312</f>
        <v>29</v>
      </c>
      <c r="E312" s="115">
        <f>'Sampling Data'!D312</f>
        <v>1</v>
      </c>
      <c r="F312" s="115">
        <f>'Sampling Data'!E312</f>
        <v>0</v>
      </c>
      <c r="G312" s="115">
        <f>'Sampling Data'!F312</f>
        <v>0</v>
      </c>
      <c r="H312" s="115">
        <f>'Sampling Data'!G312</f>
        <v>0</v>
      </c>
      <c r="I312" s="115">
        <f>'Sampling Data'!H312</f>
        <v>0</v>
      </c>
      <c r="J312" s="115">
        <f>'Sampling Data'!I312</f>
        <v>0</v>
      </c>
      <c r="K312" s="115">
        <f>'Sampling Data'!J312</f>
        <v>0</v>
      </c>
      <c r="L312" s="115">
        <f>'Sampling Data'!K312</f>
        <v>0</v>
      </c>
      <c r="M312" s="115">
        <f>'Sampling Data'!L312</f>
        <v>0</v>
      </c>
      <c r="N312" s="115">
        <f>'Sampling Data'!M312</f>
        <v>0</v>
      </c>
      <c r="O312" s="114">
        <f>'Sampling Data'!N312</f>
        <v>0</v>
      </c>
      <c r="P312" s="114">
        <f>'Sampling Data'!O312</f>
        <v>0</v>
      </c>
      <c r="Q312" s="114">
        <f>'Sampling Data'!P312</f>
        <v>65</v>
      </c>
      <c r="R312" s="114">
        <f>'Sampling Data'!AJ312</f>
        <v>0</v>
      </c>
      <c r="S312" s="116"/>
      <c r="T312" s="116"/>
      <c r="U312" s="117"/>
      <c r="V312" s="117"/>
      <c r="W312" s="116"/>
      <c r="X312" s="116"/>
      <c r="Y312" s="116"/>
      <c r="Z312" s="116"/>
      <c r="AA312" s="15"/>
      <c r="AB312" s="15"/>
      <c r="AC312" s="15"/>
      <c r="AD312" s="15"/>
      <c r="AE312" s="118" t="str">
        <f>IF(NOT(ISBLANK(Audit[[#This Row],[Audit Winning Candidate]])), Audit[[#This Row],[Audit Winning Candidate]]-Audit[[#This Row],[Winning Candidate]], "")</f>
        <v/>
      </c>
      <c r="AF312" s="114" t="str">
        <f>IF(NOT(ISBLANK(Audit[[#This Row],[Audit Losing Candidate]])), Audit[[#This Row],[Audit Losing Candidate]]-Audit[[#This Row],[Losing Candidate]], "")</f>
        <v/>
      </c>
      <c r="AG312" s="114" t="str">
        <f>IF(NOT(ISBLANK(Audit[[#This Row],[Audit Candidate 3]])), Audit[[#This Row],[Audit Candidate 3]]-Audit[[#This Row],[Candidate 3]], "")</f>
        <v/>
      </c>
      <c r="AH312" s="114" t="str">
        <f>IF(NOT(ISBLANK(Audit[[#This Row],[Audit Candidate 4]])),Audit[[#This Row],[Audit Candidate 4]]-Audit[[#This Row],[Candidate 4]], "")</f>
        <v/>
      </c>
      <c r="AI312" s="114" t="str">
        <f>IF(NOT(ISBLANK(Audit[[#This Row],[Audit Candidate 5]])), Audit[[#This Row],[Audit Candidate 5]]-Audit[[#This Row],[Candidate 5]], "")</f>
        <v/>
      </c>
      <c r="AJ312" s="114" t="str">
        <f>IF(NOT(ISBLANK(Audit[[#This Row],[Audit Candidate 6]])), Audit[[#This Row],[Audit Candidate 6]]-Audit[[#This Row],[Candidate 6]], "")</f>
        <v/>
      </c>
      <c r="AK312" s="114" t="str">
        <f>IF(NOT(ISBLANK(Audit[[#This Row],[Audit Candidate 7]])), Audit[[#This Row],[Audit Candidate 7]]-Audit[[#This Row],[Candidate 7]], "")</f>
        <v/>
      </c>
      <c r="AL312" s="114" t="str">
        <f>IF(NOT(ISBLANK(Audit[[#This Row],[Audit Candidate 8]])), Audit[[#This Row],[Audit Candidate 8]]-Audit[[#This Row],[Candidate 8]], "")</f>
        <v/>
      </c>
      <c r="AM312" s="114" t="str">
        <f>IF(NOT(ISBLANK(Audit[[#This Row],[Audit Candidate 9]])), Audit[[#This Row],[Audit Candidate 9]]-Audit[[#This Row],[Candidate 9]], "")</f>
        <v/>
      </c>
      <c r="AN312" s="114" t="str">
        <f>IF(NOT(ISBLANK(Audit[[#This Row],[Audit Candidate 10]])), Audit[[#This Row],[Audit Candidate 10]]-Audit[[#This Row],[Candidate 10]], "")</f>
        <v/>
      </c>
      <c r="AO312" s="114" t="str">
        <f>IF(NOT(ISBLANK(Audit[[#This Row],[Audit Candidate 11]])), Audit[[#This Row],[Audit Candidate 11]]-Audit[[#This Row],[Candidate 11]], "")</f>
        <v/>
      </c>
      <c r="AP312" s="114" t="str">
        <f>IF(NOT(ISBLANK(Audit[[#This Row],[Audit Candidate 12]])), Audit[[#This Row],[Audit Candidate 12]]-Audit[[#This Row],[Candidate 12]], "")</f>
        <v/>
      </c>
      <c r="AQ312" s="114">
        <f>SUMIF(Audit[[#This Row],[Difference Winner]:[Difference Candidate 12]], "&gt;0")</f>
        <v>0</v>
      </c>
      <c r="AR312" s="114">
        <f>SUM(Audit[[#This Row],[Difference Winner]:[Difference Candidate 12]])</f>
        <v>0</v>
      </c>
      <c r="AS312" s="114">
        <f>IF(Audit[[#This Row],[Times p Drawn - With Replacement]]&gt;0, IF(Audit[[#This Row],[Canceled Differences]]&lt;0, Audit[[#This Row],[Max Differences]]+ABS(Audit[[#This Row],[Canceled Differences]]), Audit[[#This Row],[Max Differences]]), 0)</f>
        <v>0</v>
      </c>
      <c r="AT312" s="114">
        <f>'Sampling Data'!AB312</f>
        <v>5.5881688868819144E-3</v>
      </c>
      <c r="AU312" s="114">
        <f>IF(
      SUM(Audit[[#This Row],[Audit Losing Candidate]:[Audit Candidate 12]])
      &lt;&gt;0,
      (Audit[[#This Row],[Winning Candidate]]-Audit[[#This Row],[Losing Candidate]]-(Audit[[#This Row],[Audit Winning Candidate]]-Audit[[#This Row],[Audit Losing Candidate]]))/(Audit[[#Totals],[Winning Candidate]]-Audit[[#Totals],[Losing Candidate]]),
      0
)</f>
        <v>0</v>
      </c>
      <c r="AV31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2" s="114">
        <f>IF(Audit[[#This Row],[Max Relative Error (ep)]] = 0, 0, Audit[[#This Row],[Max Relative Error (ep)]]/Audit[[#This Row],[Error Bound (up) - Max. possible relative overstatement]])</f>
        <v>0</v>
      </c>
      <c r="BH31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2" s="114">
        <f t="shared" si="5"/>
        <v>1</v>
      </c>
      <c r="BJ312" s="114">
        <f>PRODUCT($BI$5:BI312)</f>
        <v>0.12461438450562042</v>
      </c>
      <c r="BK312" s="112">
        <f>1 - Audit[[#This Row],[K-M P Value]]</f>
        <v>0.87538561549437954</v>
      </c>
      <c r="BL312" s="114" t="str">
        <f>IF(Audit[[#This Row],[K-M P Value]]&gt;1-'General Info'!$B$12,"Continue", "Stop")</f>
        <v>Continue</v>
      </c>
      <c r="BM312" s="113" t="b">
        <f>IF(Audit[[#This Row],[Status - Continue or stop audit]] = "Continue", TRUE, IF(BL311 = "Continue", TRUE, FALSE))</f>
        <v>1</v>
      </c>
      <c r="BN312" s="113"/>
    </row>
    <row r="313" spans="1:66" ht="15" hidden="1" customHeight="1" x14ac:dyDescent="0.35">
      <c r="A313" s="114" t="str">
        <f>'Sampling Data'!AI313</f>
        <v/>
      </c>
      <c r="B313" s="114" t="str">
        <f>'Sampling Data'!A313</f>
        <v>1904 CIN 19-D   (ED)</v>
      </c>
      <c r="C313" s="114">
        <f>'Sampling Data'!B313</f>
        <v>4</v>
      </c>
      <c r="D313" s="114">
        <f>'Sampling Data'!C313</f>
        <v>0</v>
      </c>
      <c r="E313" s="115">
        <f>'Sampling Data'!D313</f>
        <v>0</v>
      </c>
      <c r="F313" s="115">
        <f>'Sampling Data'!E313</f>
        <v>0</v>
      </c>
      <c r="G313" s="115">
        <f>'Sampling Data'!F313</f>
        <v>0</v>
      </c>
      <c r="H313" s="115">
        <f>'Sampling Data'!G313</f>
        <v>0</v>
      </c>
      <c r="I313" s="115">
        <f>'Sampling Data'!H313</f>
        <v>0</v>
      </c>
      <c r="J313" s="115">
        <f>'Sampling Data'!I313</f>
        <v>0</v>
      </c>
      <c r="K313" s="115">
        <f>'Sampling Data'!J313</f>
        <v>0</v>
      </c>
      <c r="L313" s="115">
        <f>'Sampling Data'!K313</f>
        <v>0</v>
      </c>
      <c r="M313" s="115">
        <f>'Sampling Data'!L313</f>
        <v>0</v>
      </c>
      <c r="N313" s="115">
        <f>'Sampling Data'!M313</f>
        <v>0</v>
      </c>
      <c r="O313" s="114">
        <f>'Sampling Data'!N313</f>
        <v>0</v>
      </c>
      <c r="P313" s="114">
        <f>'Sampling Data'!O313</f>
        <v>0</v>
      </c>
      <c r="Q313" s="114">
        <f>'Sampling Data'!P313</f>
        <v>4</v>
      </c>
      <c r="R313" s="114">
        <f>'Sampling Data'!AJ313</f>
        <v>0</v>
      </c>
      <c r="S313" s="116"/>
      <c r="T313" s="116"/>
      <c r="U313" s="117"/>
      <c r="V313" s="117"/>
      <c r="W313" s="116"/>
      <c r="X313" s="116"/>
      <c r="Y313" s="116"/>
      <c r="Z313" s="116"/>
      <c r="AA313" s="15"/>
      <c r="AB313" s="15"/>
      <c r="AC313" s="15"/>
      <c r="AD313" s="15"/>
      <c r="AE313" s="118" t="str">
        <f>IF(NOT(ISBLANK(Audit[[#This Row],[Audit Winning Candidate]])), Audit[[#This Row],[Audit Winning Candidate]]-Audit[[#This Row],[Winning Candidate]], "")</f>
        <v/>
      </c>
      <c r="AF313" s="114" t="str">
        <f>IF(NOT(ISBLANK(Audit[[#This Row],[Audit Losing Candidate]])), Audit[[#This Row],[Audit Losing Candidate]]-Audit[[#This Row],[Losing Candidate]], "")</f>
        <v/>
      </c>
      <c r="AG313" s="114" t="str">
        <f>IF(NOT(ISBLANK(Audit[[#This Row],[Audit Candidate 3]])), Audit[[#This Row],[Audit Candidate 3]]-Audit[[#This Row],[Candidate 3]], "")</f>
        <v/>
      </c>
      <c r="AH313" s="114" t="str">
        <f>IF(NOT(ISBLANK(Audit[[#This Row],[Audit Candidate 4]])),Audit[[#This Row],[Audit Candidate 4]]-Audit[[#This Row],[Candidate 4]], "")</f>
        <v/>
      </c>
      <c r="AI313" s="114" t="str">
        <f>IF(NOT(ISBLANK(Audit[[#This Row],[Audit Candidate 5]])), Audit[[#This Row],[Audit Candidate 5]]-Audit[[#This Row],[Candidate 5]], "")</f>
        <v/>
      </c>
      <c r="AJ313" s="114" t="str">
        <f>IF(NOT(ISBLANK(Audit[[#This Row],[Audit Candidate 6]])), Audit[[#This Row],[Audit Candidate 6]]-Audit[[#This Row],[Candidate 6]], "")</f>
        <v/>
      </c>
      <c r="AK313" s="114" t="str">
        <f>IF(NOT(ISBLANK(Audit[[#This Row],[Audit Candidate 7]])), Audit[[#This Row],[Audit Candidate 7]]-Audit[[#This Row],[Candidate 7]], "")</f>
        <v/>
      </c>
      <c r="AL313" s="114" t="str">
        <f>IF(NOT(ISBLANK(Audit[[#This Row],[Audit Candidate 8]])), Audit[[#This Row],[Audit Candidate 8]]-Audit[[#This Row],[Candidate 8]], "")</f>
        <v/>
      </c>
      <c r="AM313" s="114" t="str">
        <f>IF(NOT(ISBLANK(Audit[[#This Row],[Audit Candidate 9]])), Audit[[#This Row],[Audit Candidate 9]]-Audit[[#This Row],[Candidate 9]], "")</f>
        <v/>
      </c>
      <c r="AN313" s="114" t="str">
        <f>IF(NOT(ISBLANK(Audit[[#This Row],[Audit Candidate 10]])), Audit[[#This Row],[Audit Candidate 10]]-Audit[[#This Row],[Candidate 10]], "")</f>
        <v/>
      </c>
      <c r="AO313" s="114" t="str">
        <f>IF(NOT(ISBLANK(Audit[[#This Row],[Audit Candidate 11]])), Audit[[#This Row],[Audit Candidate 11]]-Audit[[#This Row],[Candidate 11]], "")</f>
        <v/>
      </c>
      <c r="AP313" s="114" t="str">
        <f>IF(NOT(ISBLANK(Audit[[#This Row],[Audit Candidate 12]])), Audit[[#This Row],[Audit Candidate 12]]-Audit[[#This Row],[Candidate 12]], "")</f>
        <v/>
      </c>
      <c r="AQ313" s="114">
        <f>SUMIF(Audit[[#This Row],[Difference Winner]:[Difference Candidate 12]], "&gt;0")</f>
        <v>0</v>
      </c>
      <c r="AR313" s="114">
        <f>SUM(Audit[[#This Row],[Difference Winner]:[Difference Candidate 12]])</f>
        <v>0</v>
      </c>
      <c r="AS313" s="114">
        <f>IF(Audit[[#This Row],[Times p Drawn - With Replacement]]&gt;0, IF(Audit[[#This Row],[Canceled Differences]]&lt;0, Audit[[#This Row],[Max Differences]]+ABS(Audit[[#This Row],[Canceled Differences]]), Audit[[#This Row],[Max Differences]]), 0)</f>
        <v>0</v>
      </c>
      <c r="AT313" s="114">
        <f>'Sampling Data'!AB313</f>
        <v>5.0565703811389926E-4</v>
      </c>
      <c r="AU313" s="114">
        <f>IF(
      SUM(Audit[[#This Row],[Audit Losing Candidate]:[Audit Candidate 12]])
      &lt;&gt;0,
      (Audit[[#This Row],[Winning Candidate]]-Audit[[#This Row],[Losing Candidate]]-(Audit[[#This Row],[Audit Winning Candidate]]-Audit[[#This Row],[Audit Losing Candidate]]))/(Audit[[#Totals],[Winning Candidate]]-Audit[[#Totals],[Losing Candidate]]),
      0
)</f>
        <v>0</v>
      </c>
      <c r="AV31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3" s="114">
        <f>IF(Audit[[#This Row],[Max Relative Error (ep)]] = 0, 0, Audit[[#This Row],[Max Relative Error (ep)]]/Audit[[#This Row],[Error Bound (up) - Max. possible relative overstatement]])</f>
        <v>0</v>
      </c>
      <c r="BH31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3" s="114">
        <f t="shared" si="5"/>
        <v>1</v>
      </c>
      <c r="BJ313" s="114">
        <f>PRODUCT($BI$5:BI313)</f>
        <v>0.12461438450562042</v>
      </c>
      <c r="BK313" s="112">
        <f>1 - Audit[[#This Row],[K-M P Value]]</f>
        <v>0.87538561549437954</v>
      </c>
      <c r="BL313" s="114" t="str">
        <f>IF(Audit[[#This Row],[K-M P Value]]&gt;1-'General Info'!$B$12,"Continue", "Stop")</f>
        <v>Continue</v>
      </c>
      <c r="BM313" s="113" t="b">
        <f>IF(Audit[[#This Row],[Status - Continue or stop audit]] = "Continue", TRUE, IF(BL312 = "Continue", TRUE, FALSE))</f>
        <v>1</v>
      </c>
      <c r="BN313" s="113"/>
    </row>
    <row r="314" spans="1:66" ht="15" hidden="1" customHeight="1" x14ac:dyDescent="0.35">
      <c r="A314" s="114" t="str">
        <f>'Sampling Data'!AI314</f>
        <v/>
      </c>
      <c r="B314" s="114" t="str">
        <f>'Sampling Data'!A314</f>
        <v>2001 CIN 20-A   (ED)</v>
      </c>
      <c r="C314" s="114">
        <f>'Sampling Data'!B314</f>
        <v>37</v>
      </c>
      <c r="D314" s="114">
        <f>'Sampling Data'!C314</f>
        <v>19</v>
      </c>
      <c r="E314" s="115">
        <f>'Sampling Data'!D314</f>
        <v>3</v>
      </c>
      <c r="F314" s="115">
        <f>'Sampling Data'!E314</f>
        <v>0</v>
      </c>
      <c r="G314" s="115">
        <f>'Sampling Data'!F314</f>
        <v>0</v>
      </c>
      <c r="H314" s="115">
        <f>'Sampling Data'!G314</f>
        <v>0</v>
      </c>
      <c r="I314" s="115">
        <f>'Sampling Data'!H314</f>
        <v>0</v>
      </c>
      <c r="J314" s="115">
        <f>'Sampling Data'!I314</f>
        <v>0</v>
      </c>
      <c r="K314" s="115">
        <f>'Sampling Data'!J314</f>
        <v>0</v>
      </c>
      <c r="L314" s="115">
        <f>'Sampling Data'!K314</f>
        <v>0</v>
      </c>
      <c r="M314" s="115">
        <f>'Sampling Data'!L314</f>
        <v>0</v>
      </c>
      <c r="N314" s="115">
        <f>'Sampling Data'!M314</f>
        <v>0</v>
      </c>
      <c r="O314" s="114">
        <f>'Sampling Data'!N314</f>
        <v>1</v>
      </c>
      <c r="P314" s="114">
        <f>'Sampling Data'!O314</f>
        <v>0</v>
      </c>
      <c r="Q314" s="114">
        <f>'Sampling Data'!P314</f>
        <v>60</v>
      </c>
      <c r="R314" s="114">
        <f>'Sampling Data'!AJ314</f>
        <v>0</v>
      </c>
      <c r="S314" s="116"/>
      <c r="T314" s="116"/>
      <c r="U314" s="117"/>
      <c r="V314" s="117"/>
      <c r="W314" s="116"/>
      <c r="X314" s="116"/>
      <c r="Y314" s="116"/>
      <c r="Z314" s="116"/>
      <c r="AA314" s="15"/>
      <c r="AB314" s="15"/>
      <c r="AC314" s="15"/>
      <c r="AD314" s="15"/>
      <c r="AE314" s="118" t="str">
        <f>IF(NOT(ISBLANK(Audit[[#This Row],[Audit Winning Candidate]])), Audit[[#This Row],[Audit Winning Candidate]]-Audit[[#This Row],[Winning Candidate]], "")</f>
        <v/>
      </c>
      <c r="AF314" s="114" t="str">
        <f>IF(NOT(ISBLANK(Audit[[#This Row],[Audit Losing Candidate]])), Audit[[#This Row],[Audit Losing Candidate]]-Audit[[#This Row],[Losing Candidate]], "")</f>
        <v/>
      </c>
      <c r="AG314" s="114" t="str">
        <f>IF(NOT(ISBLANK(Audit[[#This Row],[Audit Candidate 3]])), Audit[[#This Row],[Audit Candidate 3]]-Audit[[#This Row],[Candidate 3]], "")</f>
        <v/>
      </c>
      <c r="AH314" s="114" t="str">
        <f>IF(NOT(ISBLANK(Audit[[#This Row],[Audit Candidate 4]])),Audit[[#This Row],[Audit Candidate 4]]-Audit[[#This Row],[Candidate 4]], "")</f>
        <v/>
      </c>
      <c r="AI314" s="114" t="str">
        <f>IF(NOT(ISBLANK(Audit[[#This Row],[Audit Candidate 5]])), Audit[[#This Row],[Audit Candidate 5]]-Audit[[#This Row],[Candidate 5]], "")</f>
        <v/>
      </c>
      <c r="AJ314" s="114" t="str">
        <f>IF(NOT(ISBLANK(Audit[[#This Row],[Audit Candidate 6]])), Audit[[#This Row],[Audit Candidate 6]]-Audit[[#This Row],[Candidate 6]], "")</f>
        <v/>
      </c>
      <c r="AK314" s="114" t="str">
        <f>IF(NOT(ISBLANK(Audit[[#This Row],[Audit Candidate 7]])), Audit[[#This Row],[Audit Candidate 7]]-Audit[[#This Row],[Candidate 7]], "")</f>
        <v/>
      </c>
      <c r="AL314" s="114" t="str">
        <f>IF(NOT(ISBLANK(Audit[[#This Row],[Audit Candidate 8]])), Audit[[#This Row],[Audit Candidate 8]]-Audit[[#This Row],[Candidate 8]], "")</f>
        <v/>
      </c>
      <c r="AM314" s="114" t="str">
        <f>IF(NOT(ISBLANK(Audit[[#This Row],[Audit Candidate 9]])), Audit[[#This Row],[Audit Candidate 9]]-Audit[[#This Row],[Candidate 9]], "")</f>
        <v/>
      </c>
      <c r="AN314" s="114" t="str">
        <f>IF(NOT(ISBLANK(Audit[[#This Row],[Audit Candidate 10]])), Audit[[#This Row],[Audit Candidate 10]]-Audit[[#This Row],[Candidate 10]], "")</f>
        <v/>
      </c>
      <c r="AO314" s="114" t="str">
        <f>IF(NOT(ISBLANK(Audit[[#This Row],[Audit Candidate 11]])), Audit[[#This Row],[Audit Candidate 11]]-Audit[[#This Row],[Candidate 11]], "")</f>
        <v/>
      </c>
      <c r="AP314" s="114" t="str">
        <f>IF(NOT(ISBLANK(Audit[[#This Row],[Audit Candidate 12]])), Audit[[#This Row],[Audit Candidate 12]]-Audit[[#This Row],[Candidate 12]], "")</f>
        <v/>
      </c>
      <c r="AQ314" s="114">
        <f>SUMIF(Audit[[#This Row],[Difference Winner]:[Difference Candidate 12]], "&gt;0")</f>
        <v>0</v>
      </c>
      <c r="AR314" s="114">
        <f>SUM(Audit[[#This Row],[Difference Winner]:[Difference Candidate 12]])</f>
        <v>0</v>
      </c>
      <c r="AS314" s="114">
        <f>IF(Audit[[#This Row],[Times p Drawn - With Replacement]]&gt;0, IF(Audit[[#This Row],[Canceled Differences]]&lt;0, Audit[[#This Row],[Max Differences]]+ABS(Audit[[#This Row],[Canceled Differences]]), Audit[[#This Row],[Max Differences]]), 0)</f>
        <v>0</v>
      </c>
      <c r="AT314" s="114">
        <f>'Sampling Data'!AB314</f>
        <v>5.3059381350191916E-3</v>
      </c>
      <c r="AU314" s="114">
        <f>IF(
      SUM(Audit[[#This Row],[Audit Losing Candidate]:[Audit Candidate 12]])
      &lt;&gt;0,
      (Audit[[#This Row],[Winning Candidate]]-Audit[[#This Row],[Losing Candidate]]-(Audit[[#This Row],[Audit Winning Candidate]]-Audit[[#This Row],[Audit Losing Candidate]]))/(Audit[[#Totals],[Winning Candidate]]-Audit[[#Totals],[Losing Candidate]]),
      0
)</f>
        <v>0</v>
      </c>
      <c r="AV31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4" s="114">
        <f>IF(Audit[[#This Row],[Max Relative Error (ep)]] = 0, 0, Audit[[#This Row],[Max Relative Error (ep)]]/Audit[[#This Row],[Error Bound (up) - Max. possible relative overstatement]])</f>
        <v>0</v>
      </c>
      <c r="BH31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4" s="114">
        <f t="shared" si="5"/>
        <v>1</v>
      </c>
      <c r="BJ314" s="114">
        <f>PRODUCT($BI$5:BI314)</f>
        <v>0.12461438450562042</v>
      </c>
      <c r="BK314" s="112">
        <f>1 - Audit[[#This Row],[K-M P Value]]</f>
        <v>0.87538561549437954</v>
      </c>
      <c r="BL314" s="114" t="str">
        <f>IF(Audit[[#This Row],[K-M P Value]]&gt;1-'General Info'!$B$12,"Continue", "Stop")</f>
        <v>Continue</v>
      </c>
      <c r="BM314" s="113" t="b">
        <f>IF(Audit[[#This Row],[Status - Continue or stop audit]] = "Continue", TRUE, IF(BL313 = "Continue", TRUE, FALSE))</f>
        <v>1</v>
      </c>
      <c r="BN314" s="113"/>
    </row>
    <row r="315" spans="1:66" ht="15" hidden="1" customHeight="1" x14ac:dyDescent="0.35">
      <c r="A315" s="114" t="str">
        <f>'Sampling Data'!AI315</f>
        <v/>
      </c>
      <c r="B315" s="114" t="str">
        <f>'Sampling Data'!A315</f>
        <v>2002 CIN 20-B   (ED)</v>
      </c>
      <c r="C315" s="114">
        <f>'Sampling Data'!B315</f>
        <v>38</v>
      </c>
      <c r="D315" s="114">
        <f>'Sampling Data'!C315</f>
        <v>14</v>
      </c>
      <c r="E315" s="115">
        <f>'Sampling Data'!D315</f>
        <v>2</v>
      </c>
      <c r="F315" s="115">
        <f>'Sampling Data'!E315</f>
        <v>0</v>
      </c>
      <c r="G315" s="115">
        <f>'Sampling Data'!F315</f>
        <v>0</v>
      </c>
      <c r="H315" s="115">
        <f>'Sampling Data'!G315</f>
        <v>0</v>
      </c>
      <c r="I315" s="115">
        <f>'Sampling Data'!H315</f>
        <v>0</v>
      </c>
      <c r="J315" s="115">
        <f>'Sampling Data'!I315</f>
        <v>0</v>
      </c>
      <c r="K315" s="115">
        <f>'Sampling Data'!J315</f>
        <v>0</v>
      </c>
      <c r="L315" s="115">
        <f>'Sampling Data'!K315</f>
        <v>0</v>
      </c>
      <c r="M315" s="115">
        <f>'Sampling Data'!L315</f>
        <v>0</v>
      </c>
      <c r="N315" s="115">
        <f>'Sampling Data'!M315</f>
        <v>0</v>
      </c>
      <c r="O315" s="114">
        <f>'Sampling Data'!N315</f>
        <v>0</v>
      </c>
      <c r="P315" s="114">
        <f>'Sampling Data'!O315</f>
        <v>1</v>
      </c>
      <c r="Q315" s="114">
        <f>'Sampling Data'!P315</f>
        <v>55</v>
      </c>
      <c r="R315" s="114">
        <f>'Sampling Data'!AJ315</f>
        <v>0</v>
      </c>
      <c r="S315" s="116"/>
      <c r="T315" s="116"/>
      <c r="U315" s="117"/>
      <c r="V315" s="117"/>
      <c r="W315" s="116"/>
      <c r="X315" s="116"/>
      <c r="Y315" s="116"/>
      <c r="Z315" s="116"/>
      <c r="AA315" s="15"/>
      <c r="AB315" s="15"/>
      <c r="AC315" s="15"/>
      <c r="AD315" s="15"/>
      <c r="AE315" s="118" t="str">
        <f>IF(NOT(ISBLANK(Audit[[#This Row],[Audit Winning Candidate]])), Audit[[#This Row],[Audit Winning Candidate]]-Audit[[#This Row],[Winning Candidate]], "")</f>
        <v/>
      </c>
      <c r="AF315" s="114" t="str">
        <f>IF(NOT(ISBLANK(Audit[[#This Row],[Audit Losing Candidate]])), Audit[[#This Row],[Audit Losing Candidate]]-Audit[[#This Row],[Losing Candidate]], "")</f>
        <v/>
      </c>
      <c r="AG315" s="114" t="str">
        <f>IF(NOT(ISBLANK(Audit[[#This Row],[Audit Candidate 3]])), Audit[[#This Row],[Audit Candidate 3]]-Audit[[#This Row],[Candidate 3]], "")</f>
        <v/>
      </c>
      <c r="AH315" s="114" t="str">
        <f>IF(NOT(ISBLANK(Audit[[#This Row],[Audit Candidate 4]])),Audit[[#This Row],[Audit Candidate 4]]-Audit[[#This Row],[Candidate 4]], "")</f>
        <v/>
      </c>
      <c r="AI315" s="114" t="str">
        <f>IF(NOT(ISBLANK(Audit[[#This Row],[Audit Candidate 5]])), Audit[[#This Row],[Audit Candidate 5]]-Audit[[#This Row],[Candidate 5]], "")</f>
        <v/>
      </c>
      <c r="AJ315" s="114" t="str">
        <f>IF(NOT(ISBLANK(Audit[[#This Row],[Audit Candidate 6]])), Audit[[#This Row],[Audit Candidate 6]]-Audit[[#This Row],[Candidate 6]], "")</f>
        <v/>
      </c>
      <c r="AK315" s="114" t="str">
        <f>IF(NOT(ISBLANK(Audit[[#This Row],[Audit Candidate 7]])), Audit[[#This Row],[Audit Candidate 7]]-Audit[[#This Row],[Candidate 7]], "")</f>
        <v/>
      </c>
      <c r="AL315" s="114" t="str">
        <f>IF(NOT(ISBLANK(Audit[[#This Row],[Audit Candidate 8]])), Audit[[#This Row],[Audit Candidate 8]]-Audit[[#This Row],[Candidate 8]], "")</f>
        <v/>
      </c>
      <c r="AM315" s="114" t="str">
        <f>IF(NOT(ISBLANK(Audit[[#This Row],[Audit Candidate 9]])), Audit[[#This Row],[Audit Candidate 9]]-Audit[[#This Row],[Candidate 9]], "")</f>
        <v/>
      </c>
      <c r="AN315" s="114" t="str">
        <f>IF(NOT(ISBLANK(Audit[[#This Row],[Audit Candidate 10]])), Audit[[#This Row],[Audit Candidate 10]]-Audit[[#This Row],[Candidate 10]], "")</f>
        <v/>
      </c>
      <c r="AO315" s="114" t="str">
        <f>IF(NOT(ISBLANK(Audit[[#This Row],[Audit Candidate 11]])), Audit[[#This Row],[Audit Candidate 11]]-Audit[[#This Row],[Candidate 11]], "")</f>
        <v/>
      </c>
      <c r="AP315" s="114" t="str">
        <f>IF(NOT(ISBLANK(Audit[[#This Row],[Audit Candidate 12]])), Audit[[#This Row],[Audit Candidate 12]]-Audit[[#This Row],[Candidate 12]], "")</f>
        <v/>
      </c>
      <c r="AQ315" s="114">
        <f>SUMIF(Audit[[#This Row],[Difference Winner]:[Difference Candidate 12]], "&gt;0")</f>
        <v>0</v>
      </c>
      <c r="AR315" s="114">
        <f>SUM(Audit[[#This Row],[Difference Winner]:[Difference Candidate 12]])</f>
        <v>0</v>
      </c>
      <c r="AS315" s="114">
        <f>IF(Audit[[#This Row],[Times p Drawn - With Replacement]]&gt;0, IF(Audit[[#This Row],[Canceled Differences]]&lt;0, Audit[[#This Row],[Max Differences]]+ABS(Audit[[#This Row],[Canceled Differences]]), Audit[[#This Row],[Max Differences]]), 0)</f>
        <v>0</v>
      </c>
      <c r="AT315" s="114">
        <f>'Sampling Data'!AB315</f>
        <v>5.1365996839015582E-3</v>
      </c>
      <c r="AU315" s="114">
        <f>IF(
      SUM(Audit[[#This Row],[Audit Losing Candidate]:[Audit Candidate 12]])
      &lt;&gt;0,
      (Audit[[#This Row],[Winning Candidate]]-Audit[[#This Row],[Losing Candidate]]-(Audit[[#This Row],[Audit Winning Candidate]]-Audit[[#This Row],[Audit Losing Candidate]]))/(Audit[[#Totals],[Winning Candidate]]-Audit[[#Totals],[Losing Candidate]]),
      0
)</f>
        <v>0</v>
      </c>
      <c r="AV3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5" s="114">
        <f>IF(Audit[[#This Row],[Max Relative Error (ep)]] = 0, 0, Audit[[#This Row],[Max Relative Error (ep)]]/Audit[[#This Row],[Error Bound (up) - Max. possible relative overstatement]])</f>
        <v>0</v>
      </c>
      <c r="BH3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5" s="114">
        <f t="shared" si="5"/>
        <v>1</v>
      </c>
      <c r="BJ315" s="114">
        <f>PRODUCT($BI$5:BI315)</f>
        <v>0.12461438450562042</v>
      </c>
      <c r="BK315" s="112">
        <f>1 - Audit[[#This Row],[K-M P Value]]</f>
        <v>0.87538561549437954</v>
      </c>
      <c r="BL315" s="114" t="str">
        <f>IF(Audit[[#This Row],[K-M P Value]]&gt;1-'General Info'!$B$12,"Continue", "Stop")</f>
        <v>Continue</v>
      </c>
      <c r="BM315" s="113" t="b">
        <f>IF(Audit[[#This Row],[Status - Continue or stop audit]] = "Continue", TRUE, IF(BL314 = "Continue", TRUE, FALSE))</f>
        <v>1</v>
      </c>
      <c r="BN315" s="113"/>
    </row>
    <row r="316" spans="1:66" ht="15" hidden="1" customHeight="1" x14ac:dyDescent="0.35">
      <c r="A316" s="114" t="str">
        <f>'Sampling Data'!AI316</f>
        <v/>
      </c>
      <c r="B316" s="114" t="str">
        <f>'Sampling Data'!A316</f>
        <v>2003 CIN 20-C   (ED)</v>
      </c>
      <c r="C316" s="114">
        <f>'Sampling Data'!B316</f>
        <v>84</v>
      </c>
      <c r="D316" s="114">
        <f>'Sampling Data'!C316</f>
        <v>24</v>
      </c>
      <c r="E316" s="115">
        <f>'Sampling Data'!D316</f>
        <v>6</v>
      </c>
      <c r="F316" s="115">
        <f>'Sampling Data'!E316</f>
        <v>0</v>
      </c>
      <c r="G316" s="115">
        <f>'Sampling Data'!F316</f>
        <v>0</v>
      </c>
      <c r="H316" s="115">
        <f>'Sampling Data'!G316</f>
        <v>0</v>
      </c>
      <c r="I316" s="115">
        <f>'Sampling Data'!H316</f>
        <v>0</v>
      </c>
      <c r="J316" s="115">
        <f>'Sampling Data'!I316</f>
        <v>0</v>
      </c>
      <c r="K316" s="115">
        <f>'Sampling Data'!J316</f>
        <v>0</v>
      </c>
      <c r="L316" s="115">
        <f>'Sampling Data'!K316</f>
        <v>0</v>
      </c>
      <c r="M316" s="115">
        <f>'Sampling Data'!L316</f>
        <v>0</v>
      </c>
      <c r="N316" s="115">
        <f>'Sampling Data'!M316</f>
        <v>0</v>
      </c>
      <c r="O316" s="114">
        <f>'Sampling Data'!N316</f>
        <v>0</v>
      </c>
      <c r="P316" s="114">
        <f>'Sampling Data'!O316</f>
        <v>1</v>
      </c>
      <c r="Q316" s="114">
        <f>'Sampling Data'!P316</f>
        <v>115</v>
      </c>
      <c r="R316" s="114">
        <f>'Sampling Data'!AJ316</f>
        <v>0</v>
      </c>
      <c r="S316" s="116"/>
      <c r="T316" s="116"/>
      <c r="U316" s="117"/>
      <c r="V316" s="117"/>
      <c r="W316" s="116"/>
      <c r="X316" s="116"/>
      <c r="Y316" s="116"/>
      <c r="Z316" s="116"/>
      <c r="AA316" s="15"/>
      <c r="AB316" s="15"/>
      <c r="AC316" s="15"/>
      <c r="AD316" s="15"/>
      <c r="AE316" s="118" t="str">
        <f>IF(NOT(ISBLANK(Audit[[#This Row],[Audit Winning Candidate]])), Audit[[#This Row],[Audit Winning Candidate]]-Audit[[#This Row],[Winning Candidate]], "")</f>
        <v/>
      </c>
      <c r="AF316" s="114" t="str">
        <f>IF(NOT(ISBLANK(Audit[[#This Row],[Audit Losing Candidate]])), Audit[[#This Row],[Audit Losing Candidate]]-Audit[[#This Row],[Losing Candidate]], "")</f>
        <v/>
      </c>
      <c r="AG316" s="114" t="str">
        <f>IF(NOT(ISBLANK(Audit[[#This Row],[Audit Candidate 3]])), Audit[[#This Row],[Audit Candidate 3]]-Audit[[#This Row],[Candidate 3]], "")</f>
        <v/>
      </c>
      <c r="AH316" s="114" t="str">
        <f>IF(NOT(ISBLANK(Audit[[#This Row],[Audit Candidate 4]])),Audit[[#This Row],[Audit Candidate 4]]-Audit[[#This Row],[Candidate 4]], "")</f>
        <v/>
      </c>
      <c r="AI316" s="114" t="str">
        <f>IF(NOT(ISBLANK(Audit[[#This Row],[Audit Candidate 5]])), Audit[[#This Row],[Audit Candidate 5]]-Audit[[#This Row],[Candidate 5]], "")</f>
        <v/>
      </c>
      <c r="AJ316" s="114" t="str">
        <f>IF(NOT(ISBLANK(Audit[[#This Row],[Audit Candidate 6]])), Audit[[#This Row],[Audit Candidate 6]]-Audit[[#This Row],[Candidate 6]], "")</f>
        <v/>
      </c>
      <c r="AK316" s="114" t="str">
        <f>IF(NOT(ISBLANK(Audit[[#This Row],[Audit Candidate 7]])), Audit[[#This Row],[Audit Candidate 7]]-Audit[[#This Row],[Candidate 7]], "")</f>
        <v/>
      </c>
      <c r="AL316" s="114" t="str">
        <f>IF(NOT(ISBLANK(Audit[[#This Row],[Audit Candidate 8]])), Audit[[#This Row],[Audit Candidate 8]]-Audit[[#This Row],[Candidate 8]], "")</f>
        <v/>
      </c>
      <c r="AM316" s="114" t="str">
        <f>IF(NOT(ISBLANK(Audit[[#This Row],[Audit Candidate 9]])), Audit[[#This Row],[Audit Candidate 9]]-Audit[[#This Row],[Candidate 9]], "")</f>
        <v/>
      </c>
      <c r="AN316" s="114" t="str">
        <f>IF(NOT(ISBLANK(Audit[[#This Row],[Audit Candidate 10]])), Audit[[#This Row],[Audit Candidate 10]]-Audit[[#This Row],[Candidate 10]], "")</f>
        <v/>
      </c>
      <c r="AO316" s="114" t="str">
        <f>IF(NOT(ISBLANK(Audit[[#This Row],[Audit Candidate 11]])), Audit[[#This Row],[Audit Candidate 11]]-Audit[[#This Row],[Candidate 11]], "")</f>
        <v/>
      </c>
      <c r="AP316" s="114" t="str">
        <f>IF(NOT(ISBLANK(Audit[[#This Row],[Audit Candidate 12]])), Audit[[#This Row],[Audit Candidate 12]]-Audit[[#This Row],[Candidate 12]], "")</f>
        <v/>
      </c>
      <c r="AQ316" s="114">
        <f>SUMIF(Audit[[#This Row],[Difference Winner]:[Difference Candidate 12]], "&gt;0")</f>
        <v>0</v>
      </c>
      <c r="AR316" s="114">
        <f>SUM(Audit[[#This Row],[Difference Winner]:[Difference Candidate 12]])</f>
        <v>0</v>
      </c>
      <c r="AS316" s="114">
        <f>IF(Audit[[#This Row],[Times p Drawn - With Replacement]]&gt;0, IF(Audit[[#This Row],[Canceled Differences]]&lt;0, Audit[[#This Row],[Max Differences]]+ABS(Audit[[#This Row],[Canceled Differences]]), Audit[[#This Row],[Max Differences]]), 0)</f>
        <v>0</v>
      </c>
      <c r="AT316" s="114">
        <f>'Sampling Data'!AB316</f>
        <v>1.1061247708741546E-2</v>
      </c>
      <c r="AU316" s="114">
        <f>IF(
      SUM(Audit[[#This Row],[Audit Losing Candidate]:[Audit Candidate 12]])
      &lt;&gt;0,
      (Audit[[#This Row],[Winning Candidate]]-Audit[[#This Row],[Losing Candidate]]-(Audit[[#This Row],[Audit Winning Candidate]]-Audit[[#This Row],[Audit Losing Candidate]]))/(Audit[[#Totals],[Winning Candidate]]-Audit[[#Totals],[Losing Candidate]]),
      0
)</f>
        <v>0</v>
      </c>
      <c r="AV3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6" s="114">
        <f>IF(Audit[[#This Row],[Max Relative Error (ep)]] = 0, 0, Audit[[#This Row],[Max Relative Error (ep)]]/Audit[[#This Row],[Error Bound (up) - Max. possible relative overstatement]])</f>
        <v>0</v>
      </c>
      <c r="BH3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6" s="114">
        <f t="shared" si="5"/>
        <v>1</v>
      </c>
      <c r="BJ316" s="114">
        <f>PRODUCT($BI$5:BI316)</f>
        <v>0.12461438450562042</v>
      </c>
      <c r="BK316" s="112">
        <f>1 - Audit[[#This Row],[K-M P Value]]</f>
        <v>0.87538561549437954</v>
      </c>
      <c r="BL316" s="114" t="str">
        <f>IF(Audit[[#This Row],[K-M P Value]]&gt;1-'General Info'!$B$12,"Continue", "Stop")</f>
        <v>Continue</v>
      </c>
      <c r="BM316" s="113" t="b">
        <f>IF(Audit[[#This Row],[Status - Continue or stop audit]] = "Continue", TRUE, IF(BL315 = "Continue", TRUE, FALSE))</f>
        <v>1</v>
      </c>
      <c r="BN316" s="113"/>
    </row>
    <row r="317" spans="1:66" ht="15" hidden="1" customHeight="1" x14ac:dyDescent="0.35">
      <c r="A317" s="114" t="str">
        <f>'Sampling Data'!AI317</f>
        <v/>
      </c>
      <c r="B317" s="114" t="str">
        <f>'Sampling Data'!A317</f>
        <v>2004 CIN 20-D   (ED)</v>
      </c>
      <c r="C317" s="114">
        <f>'Sampling Data'!B317</f>
        <v>86</v>
      </c>
      <c r="D317" s="114">
        <f>'Sampling Data'!C317</f>
        <v>13</v>
      </c>
      <c r="E317" s="115">
        <f>'Sampling Data'!D317</f>
        <v>3</v>
      </c>
      <c r="F317" s="115">
        <f>'Sampling Data'!E317</f>
        <v>0</v>
      </c>
      <c r="G317" s="115">
        <f>'Sampling Data'!F317</f>
        <v>0</v>
      </c>
      <c r="H317" s="115">
        <f>'Sampling Data'!G317</f>
        <v>0</v>
      </c>
      <c r="I317" s="115">
        <f>'Sampling Data'!H317</f>
        <v>0</v>
      </c>
      <c r="J317" s="115">
        <f>'Sampling Data'!I317</f>
        <v>0</v>
      </c>
      <c r="K317" s="115">
        <f>'Sampling Data'!J317</f>
        <v>0</v>
      </c>
      <c r="L317" s="115">
        <f>'Sampling Data'!K317</f>
        <v>0</v>
      </c>
      <c r="M317" s="115">
        <f>'Sampling Data'!L317</f>
        <v>0</v>
      </c>
      <c r="N317" s="115">
        <f>'Sampling Data'!M317</f>
        <v>0</v>
      </c>
      <c r="O317" s="114">
        <f>'Sampling Data'!N317</f>
        <v>0</v>
      </c>
      <c r="P317" s="114">
        <f>'Sampling Data'!O317</f>
        <v>0</v>
      </c>
      <c r="Q317" s="114">
        <f>'Sampling Data'!P317</f>
        <v>102</v>
      </c>
      <c r="R317" s="114">
        <f>'Sampling Data'!AJ317</f>
        <v>0</v>
      </c>
      <c r="S317" s="116"/>
      <c r="T317" s="116"/>
      <c r="U317" s="117"/>
      <c r="V317" s="117"/>
      <c r="W317" s="116"/>
      <c r="X317" s="116"/>
      <c r="Y317" s="116"/>
      <c r="Z317" s="116"/>
      <c r="AA317" s="15"/>
      <c r="AB317" s="15"/>
      <c r="AC317" s="15"/>
      <c r="AD317" s="15"/>
      <c r="AE317" s="118" t="str">
        <f>IF(NOT(ISBLANK(Audit[[#This Row],[Audit Winning Candidate]])), Audit[[#This Row],[Audit Winning Candidate]]-Audit[[#This Row],[Winning Candidate]], "")</f>
        <v/>
      </c>
      <c r="AF317" s="114" t="str">
        <f>IF(NOT(ISBLANK(Audit[[#This Row],[Audit Losing Candidate]])), Audit[[#This Row],[Audit Losing Candidate]]-Audit[[#This Row],[Losing Candidate]], "")</f>
        <v/>
      </c>
      <c r="AG317" s="114" t="str">
        <f>IF(NOT(ISBLANK(Audit[[#This Row],[Audit Candidate 3]])), Audit[[#This Row],[Audit Candidate 3]]-Audit[[#This Row],[Candidate 3]], "")</f>
        <v/>
      </c>
      <c r="AH317" s="114" t="str">
        <f>IF(NOT(ISBLANK(Audit[[#This Row],[Audit Candidate 4]])),Audit[[#This Row],[Audit Candidate 4]]-Audit[[#This Row],[Candidate 4]], "")</f>
        <v/>
      </c>
      <c r="AI317" s="114" t="str">
        <f>IF(NOT(ISBLANK(Audit[[#This Row],[Audit Candidate 5]])), Audit[[#This Row],[Audit Candidate 5]]-Audit[[#This Row],[Candidate 5]], "")</f>
        <v/>
      </c>
      <c r="AJ317" s="114" t="str">
        <f>IF(NOT(ISBLANK(Audit[[#This Row],[Audit Candidate 6]])), Audit[[#This Row],[Audit Candidate 6]]-Audit[[#This Row],[Candidate 6]], "")</f>
        <v/>
      </c>
      <c r="AK317" s="114" t="str">
        <f>IF(NOT(ISBLANK(Audit[[#This Row],[Audit Candidate 7]])), Audit[[#This Row],[Audit Candidate 7]]-Audit[[#This Row],[Candidate 7]], "")</f>
        <v/>
      </c>
      <c r="AL317" s="114" t="str">
        <f>IF(NOT(ISBLANK(Audit[[#This Row],[Audit Candidate 8]])), Audit[[#This Row],[Audit Candidate 8]]-Audit[[#This Row],[Candidate 8]], "")</f>
        <v/>
      </c>
      <c r="AM317" s="114" t="str">
        <f>IF(NOT(ISBLANK(Audit[[#This Row],[Audit Candidate 9]])), Audit[[#This Row],[Audit Candidate 9]]-Audit[[#This Row],[Candidate 9]], "")</f>
        <v/>
      </c>
      <c r="AN317" s="114" t="str">
        <f>IF(NOT(ISBLANK(Audit[[#This Row],[Audit Candidate 10]])), Audit[[#This Row],[Audit Candidate 10]]-Audit[[#This Row],[Candidate 10]], "")</f>
        <v/>
      </c>
      <c r="AO317" s="114" t="str">
        <f>IF(NOT(ISBLANK(Audit[[#This Row],[Audit Candidate 11]])), Audit[[#This Row],[Audit Candidate 11]]-Audit[[#This Row],[Candidate 11]], "")</f>
        <v/>
      </c>
      <c r="AP317" s="114" t="str">
        <f>IF(NOT(ISBLANK(Audit[[#This Row],[Audit Candidate 12]])), Audit[[#This Row],[Audit Candidate 12]]-Audit[[#This Row],[Candidate 12]], "")</f>
        <v/>
      </c>
      <c r="AQ317" s="114">
        <f>SUMIF(Audit[[#This Row],[Difference Winner]:[Difference Candidate 12]], "&gt;0")</f>
        <v>0</v>
      </c>
      <c r="AR317" s="114">
        <f>SUM(Audit[[#This Row],[Difference Winner]:[Difference Candidate 12]])</f>
        <v>0</v>
      </c>
      <c r="AS317" s="114">
        <f>IF(Audit[[#This Row],[Times p Drawn - With Replacement]]&gt;0, IF(Audit[[#This Row],[Canceled Differences]]&lt;0, Audit[[#This Row],[Max Differences]]+ABS(Audit[[#This Row],[Canceled Differences]]), Audit[[#This Row],[Max Differences]]), 0)</f>
        <v>0</v>
      </c>
      <c r="AT317" s="114">
        <f>'Sampling Data'!AB317</f>
        <v>1.1061247708741546E-2</v>
      </c>
      <c r="AU317" s="114">
        <f>IF(
      SUM(Audit[[#This Row],[Audit Losing Candidate]:[Audit Candidate 12]])
      &lt;&gt;0,
      (Audit[[#This Row],[Winning Candidate]]-Audit[[#This Row],[Losing Candidate]]-(Audit[[#This Row],[Audit Winning Candidate]]-Audit[[#This Row],[Audit Losing Candidate]]))/(Audit[[#Totals],[Winning Candidate]]-Audit[[#Totals],[Losing Candidate]]),
      0
)</f>
        <v>0</v>
      </c>
      <c r="AV3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7" s="114">
        <f>IF(Audit[[#This Row],[Max Relative Error (ep)]] = 0, 0, Audit[[#This Row],[Max Relative Error (ep)]]/Audit[[#This Row],[Error Bound (up) - Max. possible relative overstatement]])</f>
        <v>0</v>
      </c>
      <c r="BH3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7" s="114">
        <f t="shared" si="5"/>
        <v>1</v>
      </c>
      <c r="BJ317" s="114">
        <f>PRODUCT($BI$5:BI317)</f>
        <v>0.12461438450562042</v>
      </c>
      <c r="BK317" s="112">
        <f>1 - Audit[[#This Row],[K-M P Value]]</f>
        <v>0.87538561549437954</v>
      </c>
      <c r="BL317" s="114" t="str">
        <f>IF(Audit[[#This Row],[K-M P Value]]&gt;1-'General Info'!$B$12,"Continue", "Stop")</f>
        <v>Continue</v>
      </c>
      <c r="BM317" s="113" t="b">
        <f>IF(Audit[[#This Row],[Status - Continue or stop audit]] = "Continue", TRUE, IF(BL316 = "Continue", TRUE, FALSE))</f>
        <v>1</v>
      </c>
      <c r="BN317" s="113"/>
    </row>
    <row r="318" spans="1:66" ht="15" hidden="1" customHeight="1" x14ac:dyDescent="0.35">
      <c r="A318" s="114" t="str">
        <f>'Sampling Data'!AI318</f>
        <v/>
      </c>
      <c r="B318" s="114" t="str">
        <f>'Sampling Data'!A318</f>
        <v>2005 CIN 20-E   (ED)</v>
      </c>
      <c r="C318" s="114">
        <f>'Sampling Data'!B318</f>
        <v>19</v>
      </c>
      <c r="D318" s="114">
        <f>'Sampling Data'!C318</f>
        <v>12</v>
      </c>
      <c r="E318" s="115">
        <f>'Sampling Data'!D318</f>
        <v>2</v>
      </c>
      <c r="F318" s="115">
        <f>'Sampling Data'!E318</f>
        <v>0</v>
      </c>
      <c r="G318" s="115">
        <f>'Sampling Data'!F318</f>
        <v>0</v>
      </c>
      <c r="H318" s="115">
        <f>'Sampling Data'!G318</f>
        <v>0</v>
      </c>
      <c r="I318" s="115">
        <f>'Sampling Data'!H318</f>
        <v>0</v>
      </c>
      <c r="J318" s="115">
        <f>'Sampling Data'!I318</f>
        <v>0</v>
      </c>
      <c r="K318" s="115">
        <f>'Sampling Data'!J318</f>
        <v>0</v>
      </c>
      <c r="L318" s="115">
        <f>'Sampling Data'!K318</f>
        <v>0</v>
      </c>
      <c r="M318" s="115">
        <f>'Sampling Data'!L318</f>
        <v>0</v>
      </c>
      <c r="N318" s="115">
        <f>'Sampling Data'!M318</f>
        <v>0</v>
      </c>
      <c r="O318" s="114">
        <f>'Sampling Data'!N318</f>
        <v>0</v>
      </c>
      <c r="P318" s="114">
        <f>'Sampling Data'!O318</f>
        <v>0</v>
      </c>
      <c r="Q318" s="114">
        <f>'Sampling Data'!P318</f>
        <v>33</v>
      </c>
      <c r="R318" s="114">
        <f>'Sampling Data'!AJ318</f>
        <v>0</v>
      </c>
      <c r="S318" s="116"/>
      <c r="T318" s="116"/>
      <c r="U318" s="117"/>
      <c r="V318" s="117"/>
      <c r="W318" s="116"/>
      <c r="X318" s="116"/>
      <c r="Y318" s="116"/>
      <c r="Z318" s="116"/>
      <c r="AA318" s="15"/>
      <c r="AB318" s="15"/>
      <c r="AC318" s="15"/>
      <c r="AD318" s="15"/>
      <c r="AE318" s="118" t="str">
        <f>IF(NOT(ISBLANK(Audit[[#This Row],[Audit Winning Candidate]])), Audit[[#This Row],[Audit Winning Candidate]]-Audit[[#This Row],[Winning Candidate]], "")</f>
        <v/>
      </c>
      <c r="AF318" s="114" t="str">
        <f>IF(NOT(ISBLANK(Audit[[#This Row],[Audit Losing Candidate]])), Audit[[#This Row],[Audit Losing Candidate]]-Audit[[#This Row],[Losing Candidate]], "")</f>
        <v/>
      </c>
      <c r="AG318" s="114" t="str">
        <f>IF(NOT(ISBLANK(Audit[[#This Row],[Audit Candidate 3]])), Audit[[#This Row],[Audit Candidate 3]]-Audit[[#This Row],[Candidate 3]], "")</f>
        <v/>
      </c>
      <c r="AH318" s="114" t="str">
        <f>IF(NOT(ISBLANK(Audit[[#This Row],[Audit Candidate 4]])),Audit[[#This Row],[Audit Candidate 4]]-Audit[[#This Row],[Candidate 4]], "")</f>
        <v/>
      </c>
      <c r="AI318" s="114" t="str">
        <f>IF(NOT(ISBLANK(Audit[[#This Row],[Audit Candidate 5]])), Audit[[#This Row],[Audit Candidate 5]]-Audit[[#This Row],[Candidate 5]], "")</f>
        <v/>
      </c>
      <c r="AJ318" s="114" t="str">
        <f>IF(NOT(ISBLANK(Audit[[#This Row],[Audit Candidate 6]])), Audit[[#This Row],[Audit Candidate 6]]-Audit[[#This Row],[Candidate 6]], "")</f>
        <v/>
      </c>
      <c r="AK318" s="114" t="str">
        <f>IF(NOT(ISBLANK(Audit[[#This Row],[Audit Candidate 7]])), Audit[[#This Row],[Audit Candidate 7]]-Audit[[#This Row],[Candidate 7]], "")</f>
        <v/>
      </c>
      <c r="AL318" s="114" t="str">
        <f>IF(NOT(ISBLANK(Audit[[#This Row],[Audit Candidate 8]])), Audit[[#This Row],[Audit Candidate 8]]-Audit[[#This Row],[Candidate 8]], "")</f>
        <v/>
      </c>
      <c r="AM318" s="114" t="str">
        <f>IF(NOT(ISBLANK(Audit[[#This Row],[Audit Candidate 9]])), Audit[[#This Row],[Audit Candidate 9]]-Audit[[#This Row],[Candidate 9]], "")</f>
        <v/>
      </c>
      <c r="AN318" s="114" t="str">
        <f>IF(NOT(ISBLANK(Audit[[#This Row],[Audit Candidate 10]])), Audit[[#This Row],[Audit Candidate 10]]-Audit[[#This Row],[Candidate 10]], "")</f>
        <v/>
      </c>
      <c r="AO318" s="114" t="str">
        <f>IF(NOT(ISBLANK(Audit[[#This Row],[Audit Candidate 11]])), Audit[[#This Row],[Audit Candidate 11]]-Audit[[#This Row],[Candidate 11]], "")</f>
        <v/>
      </c>
      <c r="AP318" s="114" t="str">
        <f>IF(NOT(ISBLANK(Audit[[#This Row],[Audit Candidate 12]])), Audit[[#This Row],[Audit Candidate 12]]-Audit[[#This Row],[Candidate 12]], "")</f>
        <v/>
      </c>
      <c r="AQ318" s="114">
        <f>SUMIF(Audit[[#This Row],[Difference Winner]:[Difference Candidate 12]], "&gt;0")</f>
        <v>0</v>
      </c>
      <c r="AR318" s="114">
        <f>SUM(Audit[[#This Row],[Difference Winner]:[Difference Candidate 12]])</f>
        <v>0</v>
      </c>
      <c r="AS318" s="114">
        <f>IF(Audit[[#This Row],[Times p Drawn - With Replacement]]&gt;0, IF(Audit[[#This Row],[Canceled Differences]]&lt;0, Audit[[#This Row],[Max Differences]]+ABS(Audit[[#This Row],[Canceled Differences]]), Audit[[#This Row],[Max Differences]]), 0)</f>
        <v>0</v>
      </c>
      <c r="AT318" s="114">
        <f>'Sampling Data'!AB318</f>
        <v>2.8223075186272297E-3</v>
      </c>
      <c r="AU318" s="114">
        <f>IF(
      SUM(Audit[[#This Row],[Audit Losing Candidate]:[Audit Candidate 12]])
      &lt;&gt;0,
      (Audit[[#This Row],[Winning Candidate]]-Audit[[#This Row],[Losing Candidate]]-(Audit[[#This Row],[Audit Winning Candidate]]-Audit[[#This Row],[Audit Losing Candidate]]))/(Audit[[#Totals],[Winning Candidate]]-Audit[[#Totals],[Losing Candidate]]),
      0
)</f>
        <v>0</v>
      </c>
      <c r="AV3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8" s="114">
        <f>IF(Audit[[#This Row],[Max Relative Error (ep)]] = 0, 0, Audit[[#This Row],[Max Relative Error (ep)]]/Audit[[#This Row],[Error Bound (up) - Max. possible relative overstatement]])</f>
        <v>0</v>
      </c>
      <c r="BH3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8" s="114">
        <f t="shared" si="5"/>
        <v>1</v>
      </c>
      <c r="BJ318" s="114">
        <f>PRODUCT($BI$5:BI318)</f>
        <v>0.12461438450562042</v>
      </c>
      <c r="BK318" s="112">
        <f>1 - Audit[[#This Row],[K-M P Value]]</f>
        <v>0.87538561549437954</v>
      </c>
      <c r="BL318" s="114" t="str">
        <f>IF(Audit[[#This Row],[K-M P Value]]&gt;1-'General Info'!$B$12,"Continue", "Stop")</f>
        <v>Continue</v>
      </c>
      <c r="BM318" s="113" t="b">
        <f>IF(Audit[[#This Row],[Status - Continue or stop audit]] = "Continue", TRUE, IF(BL317 = "Continue", TRUE, FALSE))</f>
        <v>1</v>
      </c>
      <c r="BN318" s="113"/>
    </row>
    <row r="319" spans="1:66" ht="15" customHeight="1" thickBot="1" x14ac:dyDescent="0.4">
      <c r="A319" s="114">
        <f>'Sampling Data'!AI319</f>
        <v>4</v>
      </c>
      <c r="B319" s="114" t="str">
        <f>'Sampling Data'!A319</f>
        <v>2101 CIN 21-A   (ED)</v>
      </c>
      <c r="C319" s="114">
        <f>'Sampling Data'!B319</f>
        <v>18</v>
      </c>
      <c r="D319" s="114">
        <f>'Sampling Data'!C319</f>
        <v>0</v>
      </c>
      <c r="E319" s="115">
        <f>'Sampling Data'!D319</f>
        <v>1</v>
      </c>
      <c r="F319" s="115">
        <f>'Sampling Data'!E319</f>
        <v>0</v>
      </c>
      <c r="G319" s="115">
        <f>'Sampling Data'!F319</f>
        <v>0</v>
      </c>
      <c r="H319" s="115">
        <f>'Sampling Data'!G319</f>
        <v>0</v>
      </c>
      <c r="I319" s="115">
        <f>'Sampling Data'!H319</f>
        <v>0</v>
      </c>
      <c r="J319" s="115">
        <f>'Sampling Data'!I319</f>
        <v>0</v>
      </c>
      <c r="K319" s="115">
        <f>'Sampling Data'!J319</f>
        <v>0</v>
      </c>
      <c r="L319" s="115">
        <f>'Sampling Data'!K319</f>
        <v>0</v>
      </c>
      <c r="M319" s="115">
        <f>'Sampling Data'!L319</f>
        <v>0</v>
      </c>
      <c r="N319" s="115">
        <f>'Sampling Data'!M319</f>
        <v>0</v>
      </c>
      <c r="O319" s="114">
        <f>'Sampling Data'!N319</f>
        <v>0</v>
      </c>
      <c r="P319" s="114">
        <f>'Sampling Data'!O319</f>
        <v>1</v>
      </c>
      <c r="Q319" s="114">
        <f>'Sampling Data'!P319</f>
        <v>20</v>
      </c>
      <c r="R319" s="114">
        <f>'Sampling Data'!AJ319</f>
        <v>1</v>
      </c>
      <c r="S319" s="116">
        <v>18</v>
      </c>
      <c r="T319" s="116">
        <v>0</v>
      </c>
      <c r="U319" s="117">
        <v>1</v>
      </c>
      <c r="V319" s="117"/>
      <c r="W319" s="116"/>
      <c r="X319" s="116"/>
      <c r="Y319" s="116"/>
      <c r="Z319" s="116"/>
      <c r="AA319" s="15"/>
      <c r="AB319" s="15"/>
      <c r="AC319" s="15"/>
      <c r="AD319" s="15"/>
      <c r="AE319" s="118">
        <f>IF(NOT(ISBLANK(Audit[[#This Row],[Audit Winning Candidate]])), Audit[[#This Row],[Audit Winning Candidate]]-Audit[[#This Row],[Winning Candidate]], "")</f>
        <v>0</v>
      </c>
      <c r="AF319" s="114">
        <f>IF(NOT(ISBLANK(Audit[[#This Row],[Audit Losing Candidate]])), Audit[[#This Row],[Audit Losing Candidate]]-Audit[[#This Row],[Losing Candidate]], "")</f>
        <v>0</v>
      </c>
      <c r="AG319" s="114">
        <f>IF(NOT(ISBLANK(Audit[[#This Row],[Audit Candidate 3]])), Audit[[#This Row],[Audit Candidate 3]]-Audit[[#This Row],[Candidate 3]], "")</f>
        <v>0</v>
      </c>
      <c r="AH319" s="114" t="str">
        <f>IF(NOT(ISBLANK(Audit[[#This Row],[Audit Candidate 4]])),Audit[[#This Row],[Audit Candidate 4]]-Audit[[#This Row],[Candidate 4]], "")</f>
        <v/>
      </c>
      <c r="AI319" s="114" t="str">
        <f>IF(NOT(ISBLANK(Audit[[#This Row],[Audit Candidate 5]])), Audit[[#This Row],[Audit Candidate 5]]-Audit[[#This Row],[Candidate 5]], "")</f>
        <v/>
      </c>
      <c r="AJ319" s="114" t="str">
        <f>IF(NOT(ISBLANK(Audit[[#This Row],[Audit Candidate 6]])), Audit[[#This Row],[Audit Candidate 6]]-Audit[[#This Row],[Candidate 6]], "")</f>
        <v/>
      </c>
      <c r="AK319" s="114" t="str">
        <f>IF(NOT(ISBLANK(Audit[[#This Row],[Audit Candidate 7]])), Audit[[#This Row],[Audit Candidate 7]]-Audit[[#This Row],[Candidate 7]], "")</f>
        <v/>
      </c>
      <c r="AL319" s="114" t="str">
        <f>IF(NOT(ISBLANK(Audit[[#This Row],[Audit Candidate 8]])), Audit[[#This Row],[Audit Candidate 8]]-Audit[[#This Row],[Candidate 8]], "")</f>
        <v/>
      </c>
      <c r="AM319" s="114" t="str">
        <f>IF(NOT(ISBLANK(Audit[[#This Row],[Audit Candidate 9]])), Audit[[#This Row],[Audit Candidate 9]]-Audit[[#This Row],[Candidate 9]], "")</f>
        <v/>
      </c>
      <c r="AN319" s="114" t="str">
        <f>IF(NOT(ISBLANK(Audit[[#This Row],[Audit Candidate 10]])), Audit[[#This Row],[Audit Candidate 10]]-Audit[[#This Row],[Candidate 10]], "")</f>
        <v/>
      </c>
      <c r="AO319" s="114" t="str">
        <f>IF(NOT(ISBLANK(Audit[[#This Row],[Audit Candidate 11]])), Audit[[#This Row],[Audit Candidate 11]]-Audit[[#This Row],[Candidate 11]], "")</f>
        <v/>
      </c>
      <c r="AP319" s="114" t="str">
        <f>IF(NOT(ISBLANK(Audit[[#This Row],[Audit Candidate 12]])), Audit[[#This Row],[Audit Candidate 12]]-Audit[[#This Row],[Candidate 12]], "")</f>
        <v/>
      </c>
      <c r="AQ319" s="114">
        <f>SUMIF(Audit[[#This Row],[Difference Winner]:[Difference Candidate 12]], "&gt;0")</f>
        <v>0</v>
      </c>
      <c r="AR319" s="114">
        <f>SUM(Audit[[#This Row],[Difference Winner]:[Difference Candidate 12]])</f>
        <v>0</v>
      </c>
      <c r="AS319" s="114">
        <f>IF(Audit[[#This Row],[Times p Drawn - With Replacement]]&gt;0, IF(Audit[[#This Row],[Canceled Differences]]&lt;0, Audit[[#This Row],[Max Differences]]+ABS(Audit[[#This Row],[Canceled Differences]]), Audit[[#This Row],[Max Differences]]), 0)</f>
        <v>0</v>
      </c>
      <c r="AT319" s="114">
        <f>'Sampling Data'!AB319</f>
        <v>2.4018709310410216E-3</v>
      </c>
      <c r="AU319" s="114">
        <f>IF(
      SUM(Audit[[#This Row],[Audit Losing Candidate]:[Audit Candidate 12]])
      &lt;&gt;0,
      (Audit[[#This Row],[Winning Candidate]]-Audit[[#This Row],[Losing Candidate]]-(Audit[[#This Row],[Audit Winning Candidate]]-Audit[[#This Row],[Audit Losing Candidate]]))/(Audit[[#Totals],[Winning Candidate]]-Audit[[#Totals],[Losing Candidate]]),
      0
)</f>
        <v>0</v>
      </c>
      <c r="AV319" s="114">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0</v>
      </c>
      <c r="AW3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9" s="114">
        <f>IF(Audit[[#This Row],[Max Relative Error (ep)]] = 0, 0, Audit[[#This Row],[Max Relative Error (ep)]]/Audit[[#This Row],[Error Bound (up) - Max. possible relative overstatement]])</f>
        <v>0</v>
      </c>
      <c r="BH3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19" s="114">
        <f t="shared" si="5"/>
        <v>0.59414444935226851</v>
      </c>
      <c r="BJ319" s="114">
        <f>PRODUCT($BI$5:BI319)</f>
        <v>7.4038944863463699E-2</v>
      </c>
      <c r="BK319" s="112">
        <f>1 - Audit[[#This Row],[K-M P Value]]</f>
        <v>0.92596105513653626</v>
      </c>
      <c r="BL319" s="114" t="str">
        <f>IF(Audit[[#This Row],[K-M P Value]]&gt;1-'General Info'!$B$12,"Continue", "Stop")</f>
        <v>Stop</v>
      </c>
      <c r="BM319" s="113" t="b">
        <f>IF(Audit[[#This Row],[Status - Continue or stop audit]] = "Continue", TRUE, IF(BL318 = "Continue", TRUE, FALSE))</f>
        <v>1</v>
      </c>
      <c r="BN319" s="113"/>
    </row>
    <row r="320" spans="1:66" ht="15" hidden="1" customHeight="1" x14ac:dyDescent="0.35">
      <c r="A320" s="114" t="str">
        <f>'Sampling Data'!AI320</f>
        <v/>
      </c>
      <c r="B320" s="114" t="str">
        <f>'Sampling Data'!A320</f>
        <v>2102 CIN 21-B   (ED)</v>
      </c>
      <c r="C320" s="114">
        <f>'Sampling Data'!B320</f>
        <v>14</v>
      </c>
      <c r="D320" s="114">
        <f>'Sampling Data'!C320</f>
        <v>3</v>
      </c>
      <c r="E320" s="115">
        <f>'Sampling Data'!D320</f>
        <v>1</v>
      </c>
      <c r="F320" s="115">
        <f>'Sampling Data'!E320</f>
        <v>0</v>
      </c>
      <c r="G320" s="115">
        <f>'Sampling Data'!F320</f>
        <v>0</v>
      </c>
      <c r="H320" s="115">
        <f>'Sampling Data'!G320</f>
        <v>0</v>
      </c>
      <c r="I320" s="115">
        <f>'Sampling Data'!H320</f>
        <v>0</v>
      </c>
      <c r="J320" s="115">
        <f>'Sampling Data'!I320</f>
        <v>0</v>
      </c>
      <c r="K320" s="115">
        <f>'Sampling Data'!J320</f>
        <v>0</v>
      </c>
      <c r="L320" s="115">
        <f>'Sampling Data'!K320</f>
        <v>0</v>
      </c>
      <c r="M320" s="115">
        <f>'Sampling Data'!L320</f>
        <v>0</v>
      </c>
      <c r="N320" s="115">
        <f>'Sampling Data'!M320</f>
        <v>0</v>
      </c>
      <c r="O320" s="114">
        <f>'Sampling Data'!N320</f>
        <v>0</v>
      </c>
      <c r="P320" s="114">
        <f>'Sampling Data'!O320</f>
        <v>0</v>
      </c>
      <c r="Q320" s="114">
        <f>'Sampling Data'!P320</f>
        <v>18</v>
      </c>
      <c r="R320" s="114">
        <f>'Sampling Data'!AJ320</f>
        <v>0</v>
      </c>
      <c r="S320" s="116"/>
      <c r="T320" s="116"/>
      <c r="U320" s="117"/>
      <c r="V320" s="117"/>
      <c r="W320" s="116"/>
      <c r="X320" s="116"/>
      <c r="Y320" s="116"/>
      <c r="Z320" s="116"/>
      <c r="AA320" s="15"/>
      <c r="AB320" s="15"/>
      <c r="AC320" s="15"/>
      <c r="AD320" s="15"/>
      <c r="AE320" s="118" t="str">
        <f>IF(NOT(ISBLANK(Audit[[#This Row],[Audit Winning Candidate]])), Audit[[#This Row],[Audit Winning Candidate]]-Audit[[#This Row],[Winning Candidate]], "")</f>
        <v/>
      </c>
      <c r="AF320" s="114" t="str">
        <f>IF(NOT(ISBLANK(Audit[[#This Row],[Audit Losing Candidate]])), Audit[[#This Row],[Audit Losing Candidate]]-Audit[[#This Row],[Losing Candidate]], "")</f>
        <v/>
      </c>
      <c r="AG320" s="114" t="str">
        <f>IF(NOT(ISBLANK(Audit[[#This Row],[Audit Candidate 3]])), Audit[[#This Row],[Audit Candidate 3]]-Audit[[#This Row],[Candidate 3]], "")</f>
        <v/>
      </c>
      <c r="AH320" s="114" t="str">
        <f>IF(NOT(ISBLANK(Audit[[#This Row],[Audit Candidate 4]])),Audit[[#This Row],[Audit Candidate 4]]-Audit[[#This Row],[Candidate 4]], "")</f>
        <v/>
      </c>
      <c r="AI320" s="114" t="str">
        <f>IF(NOT(ISBLANK(Audit[[#This Row],[Audit Candidate 5]])), Audit[[#This Row],[Audit Candidate 5]]-Audit[[#This Row],[Candidate 5]], "")</f>
        <v/>
      </c>
      <c r="AJ320" s="114" t="str">
        <f>IF(NOT(ISBLANK(Audit[[#This Row],[Audit Candidate 6]])), Audit[[#This Row],[Audit Candidate 6]]-Audit[[#This Row],[Candidate 6]], "")</f>
        <v/>
      </c>
      <c r="AK320" s="114" t="str">
        <f>IF(NOT(ISBLANK(Audit[[#This Row],[Audit Candidate 7]])), Audit[[#This Row],[Audit Candidate 7]]-Audit[[#This Row],[Candidate 7]], "")</f>
        <v/>
      </c>
      <c r="AL320" s="114" t="str">
        <f>IF(NOT(ISBLANK(Audit[[#This Row],[Audit Candidate 8]])), Audit[[#This Row],[Audit Candidate 8]]-Audit[[#This Row],[Candidate 8]], "")</f>
        <v/>
      </c>
      <c r="AM320" s="114" t="str">
        <f>IF(NOT(ISBLANK(Audit[[#This Row],[Audit Candidate 9]])), Audit[[#This Row],[Audit Candidate 9]]-Audit[[#This Row],[Candidate 9]], "")</f>
        <v/>
      </c>
      <c r="AN320" s="114" t="str">
        <f>IF(NOT(ISBLANK(Audit[[#This Row],[Audit Candidate 10]])), Audit[[#This Row],[Audit Candidate 10]]-Audit[[#This Row],[Candidate 10]], "")</f>
        <v/>
      </c>
      <c r="AO320" s="114" t="str">
        <f>IF(NOT(ISBLANK(Audit[[#This Row],[Audit Candidate 11]])), Audit[[#This Row],[Audit Candidate 11]]-Audit[[#This Row],[Candidate 11]], "")</f>
        <v/>
      </c>
      <c r="AP320" s="114" t="str">
        <f>IF(NOT(ISBLANK(Audit[[#This Row],[Audit Candidate 12]])), Audit[[#This Row],[Audit Candidate 12]]-Audit[[#This Row],[Candidate 12]], "")</f>
        <v/>
      </c>
      <c r="AQ320" s="114">
        <f>SUMIF(Audit[[#This Row],[Difference Winner]:[Difference Candidate 12]], "&gt;0")</f>
        <v>0</v>
      </c>
      <c r="AR320" s="114">
        <f>SUM(Audit[[#This Row],[Difference Winner]:[Difference Candidate 12]])</f>
        <v>0</v>
      </c>
      <c r="AS320" s="114">
        <f>IF(Audit[[#This Row],[Times p Drawn - With Replacement]]&gt;0, IF(Audit[[#This Row],[Canceled Differences]]&lt;0, Audit[[#This Row],[Max Differences]]+ABS(Audit[[#This Row],[Canceled Differences]]), Audit[[#This Row],[Max Differences]]), 0)</f>
        <v>0</v>
      </c>
      <c r="AT320" s="114">
        <f>'Sampling Data'!AB320</f>
        <v>1.8330067631628848E-3</v>
      </c>
      <c r="AU320" s="114">
        <f>IF(
      SUM(Audit[[#This Row],[Audit Losing Candidate]:[Audit Candidate 12]])
      &lt;&gt;0,
      (Audit[[#This Row],[Winning Candidate]]-Audit[[#This Row],[Losing Candidate]]-(Audit[[#This Row],[Audit Winning Candidate]]-Audit[[#This Row],[Audit Losing Candidate]]))/(Audit[[#Totals],[Winning Candidate]]-Audit[[#Totals],[Losing Candidate]]),
      0
)</f>
        <v>0</v>
      </c>
      <c r="AV3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0" s="114">
        <f>IF(Audit[[#This Row],[Max Relative Error (ep)]] = 0, 0, Audit[[#This Row],[Max Relative Error (ep)]]/Audit[[#This Row],[Error Bound (up) - Max. possible relative overstatement]])</f>
        <v>0</v>
      </c>
      <c r="BH3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0" s="114">
        <f t="shared" si="5"/>
        <v>1</v>
      </c>
      <c r="BJ320" s="114">
        <f>PRODUCT($BI$5:BI320)</f>
        <v>7.4038944863463699E-2</v>
      </c>
      <c r="BK320" s="112">
        <f>1 - Audit[[#This Row],[K-M P Value]]</f>
        <v>0.92596105513653626</v>
      </c>
      <c r="BL320" s="114" t="str">
        <f>IF(Audit[[#This Row],[K-M P Value]]&gt;1-'General Info'!$B$12,"Continue", "Stop")</f>
        <v>Stop</v>
      </c>
      <c r="BM320" s="113" t="b">
        <f>IF(Audit[[#This Row],[Status - Continue or stop audit]] = "Continue", TRUE, IF(BL319 = "Continue", TRUE, FALSE))</f>
        <v>0</v>
      </c>
      <c r="BN320" s="113"/>
    </row>
    <row r="321" spans="1:66" ht="15" hidden="1" customHeight="1" x14ac:dyDescent="0.35">
      <c r="A321" s="114" t="str">
        <f>'Sampling Data'!AI321</f>
        <v/>
      </c>
      <c r="B321" s="114" t="str">
        <f>'Sampling Data'!A321</f>
        <v>2103 CIN 21-C   (ED)</v>
      </c>
      <c r="C321" s="114">
        <f>'Sampling Data'!B321</f>
        <v>27</v>
      </c>
      <c r="D321" s="114">
        <f>'Sampling Data'!C321</f>
        <v>8</v>
      </c>
      <c r="E321" s="115">
        <f>'Sampling Data'!D321</f>
        <v>0</v>
      </c>
      <c r="F321" s="115">
        <f>'Sampling Data'!E321</f>
        <v>0</v>
      </c>
      <c r="G321" s="115">
        <f>'Sampling Data'!F321</f>
        <v>0</v>
      </c>
      <c r="H321" s="115">
        <f>'Sampling Data'!G321</f>
        <v>0</v>
      </c>
      <c r="I321" s="115">
        <f>'Sampling Data'!H321</f>
        <v>0</v>
      </c>
      <c r="J321" s="115">
        <f>'Sampling Data'!I321</f>
        <v>0</v>
      </c>
      <c r="K321" s="115">
        <f>'Sampling Data'!J321</f>
        <v>0</v>
      </c>
      <c r="L321" s="115">
        <f>'Sampling Data'!K321</f>
        <v>0</v>
      </c>
      <c r="M321" s="115">
        <f>'Sampling Data'!L321</f>
        <v>0</v>
      </c>
      <c r="N321" s="115">
        <f>'Sampling Data'!M321</f>
        <v>0</v>
      </c>
      <c r="O321" s="114">
        <f>'Sampling Data'!N321</f>
        <v>0</v>
      </c>
      <c r="P321" s="114">
        <f>'Sampling Data'!O321</f>
        <v>0</v>
      </c>
      <c r="Q321" s="114">
        <f>'Sampling Data'!P321</f>
        <v>35</v>
      </c>
      <c r="R321" s="114">
        <f>'Sampling Data'!AJ321</f>
        <v>0</v>
      </c>
      <c r="S321" s="116"/>
      <c r="T321" s="116"/>
      <c r="U321" s="117"/>
      <c r="V321" s="117"/>
      <c r="W321" s="116"/>
      <c r="X321" s="116"/>
      <c r="Y321" s="116"/>
      <c r="Z321" s="116"/>
      <c r="AA321" s="15"/>
      <c r="AB321" s="15"/>
      <c r="AC321" s="15"/>
      <c r="AD321" s="15"/>
      <c r="AE321" s="118" t="str">
        <f>IF(NOT(ISBLANK(Audit[[#This Row],[Audit Winning Candidate]])), Audit[[#This Row],[Audit Winning Candidate]]-Audit[[#This Row],[Winning Candidate]], "")</f>
        <v/>
      </c>
      <c r="AF321" s="114" t="str">
        <f>IF(NOT(ISBLANK(Audit[[#This Row],[Audit Losing Candidate]])), Audit[[#This Row],[Audit Losing Candidate]]-Audit[[#This Row],[Losing Candidate]], "")</f>
        <v/>
      </c>
      <c r="AG321" s="114" t="str">
        <f>IF(NOT(ISBLANK(Audit[[#This Row],[Audit Candidate 3]])), Audit[[#This Row],[Audit Candidate 3]]-Audit[[#This Row],[Candidate 3]], "")</f>
        <v/>
      </c>
      <c r="AH321" s="114" t="str">
        <f>IF(NOT(ISBLANK(Audit[[#This Row],[Audit Candidate 4]])),Audit[[#This Row],[Audit Candidate 4]]-Audit[[#This Row],[Candidate 4]], "")</f>
        <v/>
      </c>
      <c r="AI321" s="114" t="str">
        <f>IF(NOT(ISBLANK(Audit[[#This Row],[Audit Candidate 5]])), Audit[[#This Row],[Audit Candidate 5]]-Audit[[#This Row],[Candidate 5]], "")</f>
        <v/>
      </c>
      <c r="AJ321" s="114" t="str">
        <f>IF(NOT(ISBLANK(Audit[[#This Row],[Audit Candidate 6]])), Audit[[#This Row],[Audit Candidate 6]]-Audit[[#This Row],[Candidate 6]], "")</f>
        <v/>
      </c>
      <c r="AK321" s="114" t="str">
        <f>IF(NOT(ISBLANK(Audit[[#This Row],[Audit Candidate 7]])), Audit[[#This Row],[Audit Candidate 7]]-Audit[[#This Row],[Candidate 7]], "")</f>
        <v/>
      </c>
      <c r="AL321" s="114" t="str">
        <f>IF(NOT(ISBLANK(Audit[[#This Row],[Audit Candidate 8]])), Audit[[#This Row],[Audit Candidate 8]]-Audit[[#This Row],[Candidate 8]], "")</f>
        <v/>
      </c>
      <c r="AM321" s="114" t="str">
        <f>IF(NOT(ISBLANK(Audit[[#This Row],[Audit Candidate 9]])), Audit[[#This Row],[Audit Candidate 9]]-Audit[[#This Row],[Candidate 9]], "")</f>
        <v/>
      </c>
      <c r="AN321" s="114" t="str">
        <f>IF(NOT(ISBLANK(Audit[[#This Row],[Audit Candidate 10]])), Audit[[#This Row],[Audit Candidate 10]]-Audit[[#This Row],[Candidate 10]], "")</f>
        <v/>
      </c>
      <c r="AO321" s="114" t="str">
        <f>IF(NOT(ISBLANK(Audit[[#This Row],[Audit Candidate 11]])), Audit[[#This Row],[Audit Candidate 11]]-Audit[[#This Row],[Candidate 11]], "")</f>
        <v/>
      </c>
      <c r="AP321" s="114" t="str">
        <f>IF(NOT(ISBLANK(Audit[[#This Row],[Audit Candidate 12]])), Audit[[#This Row],[Audit Candidate 12]]-Audit[[#This Row],[Candidate 12]], "")</f>
        <v/>
      </c>
      <c r="AQ321" s="114">
        <f>SUMIF(Audit[[#This Row],[Difference Winner]:[Difference Candidate 12]], "&gt;0")</f>
        <v>0</v>
      </c>
      <c r="AR321" s="114">
        <f>SUM(Audit[[#This Row],[Difference Winner]:[Difference Candidate 12]])</f>
        <v>0</v>
      </c>
      <c r="AS321" s="114">
        <f>IF(Audit[[#This Row],[Times p Drawn - With Replacement]]&gt;0, IF(Audit[[#This Row],[Canceled Differences]]&lt;0, Audit[[#This Row],[Max Differences]]+ABS(Audit[[#This Row],[Canceled Differences]]), Audit[[#This Row],[Max Differences]]), 0)</f>
        <v>0</v>
      </c>
      <c r="AT321" s="114">
        <f>'Sampling Data'!AB321</f>
        <v>3.4996613230977645E-3</v>
      </c>
      <c r="AU321" s="114">
        <f>IF(
      SUM(Audit[[#This Row],[Audit Losing Candidate]:[Audit Candidate 12]])
      &lt;&gt;0,
      (Audit[[#This Row],[Winning Candidate]]-Audit[[#This Row],[Losing Candidate]]-(Audit[[#This Row],[Audit Winning Candidate]]-Audit[[#This Row],[Audit Losing Candidate]]))/(Audit[[#Totals],[Winning Candidate]]-Audit[[#Totals],[Losing Candidate]]),
      0
)</f>
        <v>0</v>
      </c>
      <c r="AV3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1" s="114">
        <f>IF(Audit[[#This Row],[Max Relative Error (ep)]] = 0, 0, Audit[[#This Row],[Max Relative Error (ep)]]/Audit[[#This Row],[Error Bound (up) - Max. possible relative overstatement]])</f>
        <v>0</v>
      </c>
      <c r="BH3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1" s="114">
        <f t="shared" si="5"/>
        <v>1</v>
      </c>
      <c r="BJ321" s="114">
        <f>PRODUCT($BI$5:BI321)</f>
        <v>7.4038944863463699E-2</v>
      </c>
      <c r="BK321" s="112">
        <f>1 - Audit[[#This Row],[K-M P Value]]</f>
        <v>0.92596105513653626</v>
      </c>
      <c r="BL321" s="114" t="str">
        <f>IF(Audit[[#This Row],[K-M P Value]]&gt;1-'General Info'!$B$12,"Continue", "Stop")</f>
        <v>Stop</v>
      </c>
      <c r="BM321" s="113" t="b">
        <f>IF(Audit[[#This Row],[Status - Continue or stop audit]] = "Continue", TRUE, IF(BL320 = "Continue", TRUE, FALSE))</f>
        <v>0</v>
      </c>
      <c r="BN321" s="113"/>
    </row>
    <row r="322" spans="1:66" ht="15" hidden="1" customHeight="1" x14ac:dyDescent="0.35">
      <c r="A322" s="114" t="str">
        <f>'Sampling Data'!AI322</f>
        <v/>
      </c>
      <c r="B322" s="114" t="str">
        <f>'Sampling Data'!A322</f>
        <v>2104 CIN 21-D   (ED)</v>
      </c>
      <c r="C322" s="114">
        <f>'Sampling Data'!B322</f>
        <v>22</v>
      </c>
      <c r="D322" s="114">
        <f>'Sampling Data'!C322</f>
        <v>9</v>
      </c>
      <c r="E322" s="115">
        <f>'Sampling Data'!D322</f>
        <v>1</v>
      </c>
      <c r="F322" s="115">
        <f>'Sampling Data'!E322</f>
        <v>0</v>
      </c>
      <c r="G322" s="115">
        <f>'Sampling Data'!F322</f>
        <v>0</v>
      </c>
      <c r="H322" s="115">
        <f>'Sampling Data'!G322</f>
        <v>0</v>
      </c>
      <c r="I322" s="115">
        <f>'Sampling Data'!H322</f>
        <v>0</v>
      </c>
      <c r="J322" s="115">
        <f>'Sampling Data'!I322</f>
        <v>0</v>
      </c>
      <c r="K322" s="115">
        <f>'Sampling Data'!J322</f>
        <v>0</v>
      </c>
      <c r="L322" s="115">
        <f>'Sampling Data'!K322</f>
        <v>0</v>
      </c>
      <c r="M322" s="115">
        <f>'Sampling Data'!L322</f>
        <v>0</v>
      </c>
      <c r="N322" s="115">
        <f>'Sampling Data'!M322</f>
        <v>0</v>
      </c>
      <c r="O322" s="114">
        <f>'Sampling Data'!N322</f>
        <v>0</v>
      </c>
      <c r="P322" s="114">
        <f>'Sampling Data'!O322</f>
        <v>0</v>
      </c>
      <c r="Q322" s="114">
        <f>'Sampling Data'!P322</f>
        <v>32</v>
      </c>
      <c r="R322" s="114">
        <f>'Sampling Data'!AJ322</f>
        <v>0</v>
      </c>
      <c r="S322" s="116"/>
      <c r="T322" s="116"/>
      <c r="U322" s="117"/>
      <c r="V322" s="117"/>
      <c r="W322" s="116"/>
      <c r="X322" s="116"/>
      <c r="Y322" s="116"/>
      <c r="Z322" s="116"/>
      <c r="AA322" s="15"/>
      <c r="AB322" s="15"/>
      <c r="AC322" s="15"/>
      <c r="AD322" s="15"/>
      <c r="AE322" s="118" t="str">
        <f>IF(NOT(ISBLANK(Audit[[#This Row],[Audit Winning Candidate]])), Audit[[#This Row],[Audit Winning Candidate]]-Audit[[#This Row],[Winning Candidate]], "")</f>
        <v/>
      </c>
      <c r="AF322" s="114" t="str">
        <f>IF(NOT(ISBLANK(Audit[[#This Row],[Audit Losing Candidate]])), Audit[[#This Row],[Audit Losing Candidate]]-Audit[[#This Row],[Losing Candidate]], "")</f>
        <v/>
      </c>
      <c r="AG322" s="114" t="str">
        <f>IF(NOT(ISBLANK(Audit[[#This Row],[Audit Candidate 3]])), Audit[[#This Row],[Audit Candidate 3]]-Audit[[#This Row],[Candidate 3]], "")</f>
        <v/>
      </c>
      <c r="AH322" s="114" t="str">
        <f>IF(NOT(ISBLANK(Audit[[#This Row],[Audit Candidate 4]])),Audit[[#This Row],[Audit Candidate 4]]-Audit[[#This Row],[Candidate 4]], "")</f>
        <v/>
      </c>
      <c r="AI322" s="114" t="str">
        <f>IF(NOT(ISBLANK(Audit[[#This Row],[Audit Candidate 5]])), Audit[[#This Row],[Audit Candidate 5]]-Audit[[#This Row],[Candidate 5]], "")</f>
        <v/>
      </c>
      <c r="AJ322" s="114" t="str">
        <f>IF(NOT(ISBLANK(Audit[[#This Row],[Audit Candidate 6]])), Audit[[#This Row],[Audit Candidate 6]]-Audit[[#This Row],[Candidate 6]], "")</f>
        <v/>
      </c>
      <c r="AK322" s="114" t="str">
        <f>IF(NOT(ISBLANK(Audit[[#This Row],[Audit Candidate 7]])), Audit[[#This Row],[Audit Candidate 7]]-Audit[[#This Row],[Candidate 7]], "")</f>
        <v/>
      </c>
      <c r="AL322" s="114" t="str">
        <f>IF(NOT(ISBLANK(Audit[[#This Row],[Audit Candidate 8]])), Audit[[#This Row],[Audit Candidate 8]]-Audit[[#This Row],[Candidate 8]], "")</f>
        <v/>
      </c>
      <c r="AM322" s="114" t="str">
        <f>IF(NOT(ISBLANK(Audit[[#This Row],[Audit Candidate 9]])), Audit[[#This Row],[Audit Candidate 9]]-Audit[[#This Row],[Candidate 9]], "")</f>
        <v/>
      </c>
      <c r="AN322" s="114" t="str">
        <f>IF(NOT(ISBLANK(Audit[[#This Row],[Audit Candidate 10]])), Audit[[#This Row],[Audit Candidate 10]]-Audit[[#This Row],[Candidate 10]], "")</f>
        <v/>
      </c>
      <c r="AO322" s="114" t="str">
        <f>IF(NOT(ISBLANK(Audit[[#This Row],[Audit Candidate 11]])), Audit[[#This Row],[Audit Candidate 11]]-Audit[[#This Row],[Candidate 11]], "")</f>
        <v/>
      </c>
      <c r="AP322" s="114" t="str">
        <f>IF(NOT(ISBLANK(Audit[[#This Row],[Audit Candidate 12]])), Audit[[#This Row],[Audit Candidate 12]]-Audit[[#This Row],[Candidate 12]], "")</f>
        <v/>
      </c>
      <c r="AQ322" s="114">
        <f>SUMIF(Audit[[#This Row],[Difference Winner]:[Difference Candidate 12]], "&gt;0")</f>
        <v>0</v>
      </c>
      <c r="AR322" s="114">
        <f>SUM(Audit[[#This Row],[Difference Winner]:[Difference Candidate 12]])</f>
        <v>0</v>
      </c>
      <c r="AS322" s="114">
        <f>IF(Audit[[#This Row],[Times p Drawn - With Replacement]]&gt;0, IF(Audit[[#This Row],[Canceled Differences]]&lt;0, Audit[[#This Row],[Max Differences]]+ABS(Audit[[#This Row],[Canceled Differences]]), Audit[[#This Row],[Max Differences]]), 0)</f>
        <v>0</v>
      </c>
      <c r="AT322" s="114">
        <f>'Sampling Data'!AB322</f>
        <v>2.9916459697448632E-3</v>
      </c>
      <c r="AU322" s="114">
        <f>IF(
      SUM(Audit[[#This Row],[Audit Losing Candidate]:[Audit Candidate 12]])
      &lt;&gt;0,
      (Audit[[#This Row],[Winning Candidate]]-Audit[[#This Row],[Losing Candidate]]-(Audit[[#This Row],[Audit Winning Candidate]]-Audit[[#This Row],[Audit Losing Candidate]]))/(Audit[[#Totals],[Winning Candidate]]-Audit[[#Totals],[Losing Candidate]]),
      0
)</f>
        <v>0</v>
      </c>
      <c r="AV3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2" s="114">
        <f>IF(Audit[[#This Row],[Max Relative Error (ep)]] = 0, 0, Audit[[#This Row],[Max Relative Error (ep)]]/Audit[[#This Row],[Error Bound (up) - Max. possible relative overstatement]])</f>
        <v>0</v>
      </c>
      <c r="BH3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2" s="114">
        <f t="shared" si="5"/>
        <v>1</v>
      </c>
      <c r="BJ322" s="114">
        <f>PRODUCT($BI$5:BI322)</f>
        <v>7.4038944863463699E-2</v>
      </c>
      <c r="BK322" s="112">
        <f>1 - Audit[[#This Row],[K-M P Value]]</f>
        <v>0.92596105513653626</v>
      </c>
      <c r="BL322" s="114" t="str">
        <f>IF(Audit[[#This Row],[K-M P Value]]&gt;1-'General Info'!$B$12,"Continue", "Stop")</f>
        <v>Stop</v>
      </c>
      <c r="BM322" s="113" t="b">
        <f>IF(Audit[[#This Row],[Status - Continue or stop audit]] = "Continue", TRUE, IF(BL321 = "Continue", TRUE, FALSE))</f>
        <v>0</v>
      </c>
      <c r="BN322" s="113"/>
    </row>
    <row r="323" spans="1:66" ht="15" hidden="1" customHeight="1" x14ac:dyDescent="0.35">
      <c r="A323" s="114" t="str">
        <f>'Sampling Data'!AI323</f>
        <v/>
      </c>
      <c r="B323" s="114" t="str">
        <f>'Sampling Data'!A323</f>
        <v>2105 CIN 21-E   (ED)</v>
      </c>
      <c r="C323" s="114">
        <f>'Sampling Data'!B323</f>
        <v>13</v>
      </c>
      <c r="D323" s="114">
        <f>'Sampling Data'!C323</f>
        <v>1</v>
      </c>
      <c r="E323" s="115">
        <f>'Sampling Data'!D323</f>
        <v>3</v>
      </c>
      <c r="F323" s="115">
        <f>'Sampling Data'!E323</f>
        <v>0</v>
      </c>
      <c r="G323" s="115">
        <f>'Sampling Data'!F323</f>
        <v>0</v>
      </c>
      <c r="H323" s="115">
        <f>'Sampling Data'!G323</f>
        <v>0</v>
      </c>
      <c r="I323" s="115">
        <f>'Sampling Data'!H323</f>
        <v>0</v>
      </c>
      <c r="J323" s="115">
        <f>'Sampling Data'!I323</f>
        <v>0</v>
      </c>
      <c r="K323" s="115">
        <f>'Sampling Data'!J323</f>
        <v>0</v>
      </c>
      <c r="L323" s="115">
        <f>'Sampling Data'!K323</f>
        <v>0</v>
      </c>
      <c r="M323" s="115">
        <f>'Sampling Data'!L323</f>
        <v>0</v>
      </c>
      <c r="N323" s="115">
        <f>'Sampling Data'!M323</f>
        <v>0</v>
      </c>
      <c r="O323" s="114">
        <f>'Sampling Data'!N323</f>
        <v>0</v>
      </c>
      <c r="P323" s="114">
        <f>'Sampling Data'!O323</f>
        <v>0</v>
      </c>
      <c r="Q323" s="114">
        <f>'Sampling Data'!P323</f>
        <v>17</v>
      </c>
      <c r="R323" s="114">
        <f>'Sampling Data'!AJ323</f>
        <v>0</v>
      </c>
      <c r="S323" s="116"/>
      <c r="T323" s="116"/>
      <c r="U323" s="117"/>
      <c r="V323" s="117"/>
      <c r="W323" s="116"/>
      <c r="X323" s="116"/>
      <c r="Y323" s="116"/>
      <c r="Z323" s="116"/>
      <c r="AA323" s="15"/>
      <c r="AB323" s="15"/>
      <c r="AC323" s="15"/>
      <c r="AD323" s="15"/>
      <c r="AE323" s="118" t="str">
        <f>IF(NOT(ISBLANK(Audit[[#This Row],[Audit Winning Candidate]])), Audit[[#This Row],[Audit Winning Candidate]]-Audit[[#This Row],[Winning Candidate]], "")</f>
        <v/>
      </c>
      <c r="AF323" s="114" t="str">
        <f>IF(NOT(ISBLANK(Audit[[#This Row],[Audit Losing Candidate]])), Audit[[#This Row],[Audit Losing Candidate]]-Audit[[#This Row],[Losing Candidate]], "")</f>
        <v/>
      </c>
      <c r="AG323" s="114" t="str">
        <f>IF(NOT(ISBLANK(Audit[[#This Row],[Audit Candidate 3]])), Audit[[#This Row],[Audit Candidate 3]]-Audit[[#This Row],[Candidate 3]], "")</f>
        <v/>
      </c>
      <c r="AH323" s="114" t="str">
        <f>IF(NOT(ISBLANK(Audit[[#This Row],[Audit Candidate 4]])),Audit[[#This Row],[Audit Candidate 4]]-Audit[[#This Row],[Candidate 4]], "")</f>
        <v/>
      </c>
      <c r="AI323" s="114" t="str">
        <f>IF(NOT(ISBLANK(Audit[[#This Row],[Audit Candidate 5]])), Audit[[#This Row],[Audit Candidate 5]]-Audit[[#This Row],[Candidate 5]], "")</f>
        <v/>
      </c>
      <c r="AJ323" s="114" t="str">
        <f>IF(NOT(ISBLANK(Audit[[#This Row],[Audit Candidate 6]])), Audit[[#This Row],[Audit Candidate 6]]-Audit[[#This Row],[Candidate 6]], "")</f>
        <v/>
      </c>
      <c r="AK323" s="114" t="str">
        <f>IF(NOT(ISBLANK(Audit[[#This Row],[Audit Candidate 7]])), Audit[[#This Row],[Audit Candidate 7]]-Audit[[#This Row],[Candidate 7]], "")</f>
        <v/>
      </c>
      <c r="AL323" s="114" t="str">
        <f>IF(NOT(ISBLANK(Audit[[#This Row],[Audit Candidate 8]])), Audit[[#This Row],[Audit Candidate 8]]-Audit[[#This Row],[Candidate 8]], "")</f>
        <v/>
      </c>
      <c r="AM323" s="114" t="str">
        <f>IF(NOT(ISBLANK(Audit[[#This Row],[Audit Candidate 9]])), Audit[[#This Row],[Audit Candidate 9]]-Audit[[#This Row],[Candidate 9]], "")</f>
        <v/>
      </c>
      <c r="AN323" s="114" t="str">
        <f>IF(NOT(ISBLANK(Audit[[#This Row],[Audit Candidate 10]])), Audit[[#This Row],[Audit Candidate 10]]-Audit[[#This Row],[Candidate 10]], "")</f>
        <v/>
      </c>
      <c r="AO323" s="114" t="str">
        <f>IF(NOT(ISBLANK(Audit[[#This Row],[Audit Candidate 11]])), Audit[[#This Row],[Audit Candidate 11]]-Audit[[#This Row],[Candidate 11]], "")</f>
        <v/>
      </c>
      <c r="AP323" s="114" t="str">
        <f>IF(NOT(ISBLANK(Audit[[#This Row],[Audit Candidate 12]])), Audit[[#This Row],[Audit Candidate 12]]-Audit[[#This Row],[Candidate 12]], "")</f>
        <v/>
      </c>
      <c r="AQ323" s="114">
        <f>SUMIF(Audit[[#This Row],[Difference Winner]:[Difference Candidate 12]], "&gt;0")</f>
        <v>0</v>
      </c>
      <c r="AR323" s="114">
        <f>SUM(Audit[[#This Row],[Difference Winner]:[Difference Candidate 12]])</f>
        <v>0</v>
      </c>
      <c r="AS323" s="114">
        <f>IF(Audit[[#This Row],[Times p Drawn - With Replacement]]&gt;0, IF(Audit[[#This Row],[Canceled Differences]]&lt;0, Audit[[#This Row],[Max Differences]]+ABS(Audit[[#This Row],[Canceled Differences]]), Audit[[#This Row],[Max Differences]]), 0)</f>
        <v>0</v>
      </c>
      <c r="AT323" s="114">
        <f>'Sampling Data'!AB323</f>
        <v>1.8330067631628848E-3</v>
      </c>
      <c r="AU323" s="114">
        <f>IF(
      SUM(Audit[[#This Row],[Audit Losing Candidate]:[Audit Candidate 12]])
      &lt;&gt;0,
      (Audit[[#This Row],[Winning Candidate]]-Audit[[#This Row],[Losing Candidate]]-(Audit[[#This Row],[Audit Winning Candidate]]-Audit[[#This Row],[Audit Losing Candidate]]))/(Audit[[#Totals],[Winning Candidate]]-Audit[[#Totals],[Losing Candidate]]),
      0
)</f>
        <v>0</v>
      </c>
      <c r="AV3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3" s="114">
        <f>IF(Audit[[#This Row],[Max Relative Error (ep)]] = 0, 0, Audit[[#This Row],[Max Relative Error (ep)]]/Audit[[#This Row],[Error Bound (up) - Max. possible relative overstatement]])</f>
        <v>0</v>
      </c>
      <c r="BH3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3" s="114">
        <f t="shared" si="5"/>
        <v>1</v>
      </c>
      <c r="BJ323" s="114">
        <f>PRODUCT($BI$5:BI323)</f>
        <v>7.4038944863463699E-2</v>
      </c>
      <c r="BK323" s="112">
        <f>1 - Audit[[#This Row],[K-M P Value]]</f>
        <v>0.92596105513653626</v>
      </c>
      <c r="BL323" s="114" t="str">
        <f>IF(Audit[[#This Row],[K-M P Value]]&gt;1-'General Info'!$B$12,"Continue", "Stop")</f>
        <v>Stop</v>
      </c>
      <c r="BM323" s="113" t="b">
        <f>IF(Audit[[#This Row],[Status - Continue or stop audit]] = "Continue", TRUE, IF(BL322 = "Continue", TRUE, FALSE))</f>
        <v>0</v>
      </c>
      <c r="BN323" s="113"/>
    </row>
    <row r="324" spans="1:66" ht="15" hidden="1" customHeight="1" x14ac:dyDescent="0.35">
      <c r="A324" s="114" t="str">
        <f>'Sampling Data'!AI324</f>
        <v/>
      </c>
      <c r="B324" s="114" t="str">
        <f>'Sampling Data'!A324</f>
        <v>2201 CIN 22-A   (ED)</v>
      </c>
      <c r="C324" s="114">
        <f>'Sampling Data'!B324</f>
        <v>161</v>
      </c>
      <c r="D324" s="114">
        <f>'Sampling Data'!C324</f>
        <v>11</v>
      </c>
      <c r="E324" s="115">
        <f>'Sampling Data'!D324</f>
        <v>5</v>
      </c>
      <c r="F324" s="115">
        <f>'Sampling Data'!E324</f>
        <v>0</v>
      </c>
      <c r="G324" s="115">
        <f>'Sampling Data'!F324</f>
        <v>0</v>
      </c>
      <c r="H324" s="115">
        <f>'Sampling Data'!G324</f>
        <v>0</v>
      </c>
      <c r="I324" s="115">
        <f>'Sampling Data'!H324</f>
        <v>0</v>
      </c>
      <c r="J324" s="115">
        <f>'Sampling Data'!I324</f>
        <v>0</v>
      </c>
      <c r="K324" s="115">
        <f>'Sampling Data'!J324</f>
        <v>0</v>
      </c>
      <c r="L324" s="115">
        <f>'Sampling Data'!K324</f>
        <v>0</v>
      </c>
      <c r="M324" s="115">
        <f>'Sampling Data'!L324</f>
        <v>0</v>
      </c>
      <c r="N324" s="115">
        <f>'Sampling Data'!M324</f>
        <v>0</v>
      </c>
      <c r="O324" s="114">
        <f>'Sampling Data'!N324</f>
        <v>0</v>
      </c>
      <c r="P324" s="114">
        <f>'Sampling Data'!O324</f>
        <v>2</v>
      </c>
      <c r="Q324" s="114">
        <f>'Sampling Data'!P324</f>
        <v>179</v>
      </c>
      <c r="R324" s="114">
        <f>'Sampling Data'!AJ324</f>
        <v>0</v>
      </c>
      <c r="S324" s="116"/>
      <c r="T324" s="116"/>
      <c r="U324" s="117"/>
      <c r="V324" s="117"/>
      <c r="W324" s="116"/>
      <c r="X324" s="116"/>
      <c r="Y324" s="116"/>
      <c r="Z324" s="116"/>
      <c r="AA324" s="15"/>
      <c r="AB324" s="15"/>
      <c r="AC324" s="15"/>
      <c r="AD324" s="15"/>
      <c r="AE324" s="118" t="str">
        <f>IF(NOT(ISBLANK(Audit[[#This Row],[Audit Winning Candidate]])), Audit[[#This Row],[Audit Winning Candidate]]-Audit[[#This Row],[Winning Candidate]], "")</f>
        <v/>
      </c>
      <c r="AF324" s="114" t="str">
        <f>IF(NOT(ISBLANK(Audit[[#This Row],[Audit Losing Candidate]])), Audit[[#This Row],[Audit Losing Candidate]]-Audit[[#This Row],[Losing Candidate]], "")</f>
        <v/>
      </c>
      <c r="AG324" s="114" t="str">
        <f>IF(NOT(ISBLANK(Audit[[#This Row],[Audit Candidate 3]])), Audit[[#This Row],[Audit Candidate 3]]-Audit[[#This Row],[Candidate 3]], "")</f>
        <v/>
      </c>
      <c r="AH324" s="114" t="str">
        <f>IF(NOT(ISBLANK(Audit[[#This Row],[Audit Candidate 4]])),Audit[[#This Row],[Audit Candidate 4]]-Audit[[#This Row],[Candidate 4]], "")</f>
        <v/>
      </c>
      <c r="AI324" s="114" t="str">
        <f>IF(NOT(ISBLANK(Audit[[#This Row],[Audit Candidate 5]])), Audit[[#This Row],[Audit Candidate 5]]-Audit[[#This Row],[Candidate 5]], "")</f>
        <v/>
      </c>
      <c r="AJ324" s="114" t="str">
        <f>IF(NOT(ISBLANK(Audit[[#This Row],[Audit Candidate 6]])), Audit[[#This Row],[Audit Candidate 6]]-Audit[[#This Row],[Candidate 6]], "")</f>
        <v/>
      </c>
      <c r="AK324" s="114" t="str">
        <f>IF(NOT(ISBLANK(Audit[[#This Row],[Audit Candidate 7]])), Audit[[#This Row],[Audit Candidate 7]]-Audit[[#This Row],[Candidate 7]], "")</f>
        <v/>
      </c>
      <c r="AL324" s="114" t="str">
        <f>IF(NOT(ISBLANK(Audit[[#This Row],[Audit Candidate 8]])), Audit[[#This Row],[Audit Candidate 8]]-Audit[[#This Row],[Candidate 8]], "")</f>
        <v/>
      </c>
      <c r="AM324" s="114" t="str">
        <f>IF(NOT(ISBLANK(Audit[[#This Row],[Audit Candidate 9]])), Audit[[#This Row],[Audit Candidate 9]]-Audit[[#This Row],[Candidate 9]], "")</f>
        <v/>
      </c>
      <c r="AN324" s="114" t="str">
        <f>IF(NOT(ISBLANK(Audit[[#This Row],[Audit Candidate 10]])), Audit[[#This Row],[Audit Candidate 10]]-Audit[[#This Row],[Candidate 10]], "")</f>
        <v/>
      </c>
      <c r="AO324" s="114" t="str">
        <f>IF(NOT(ISBLANK(Audit[[#This Row],[Audit Candidate 11]])), Audit[[#This Row],[Audit Candidate 11]]-Audit[[#This Row],[Candidate 11]], "")</f>
        <v/>
      </c>
      <c r="AP324" s="114" t="str">
        <f>IF(NOT(ISBLANK(Audit[[#This Row],[Audit Candidate 12]])), Audit[[#This Row],[Audit Candidate 12]]-Audit[[#This Row],[Candidate 12]], "")</f>
        <v/>
      </c>
      <c r="AQ324" s="114">
        <f>SUMIF(Audit[[#This Row],[Difference Winner]:[Difference Candidate 12]], "&gt;0")</f>
        <v>0</v>
      </c>
      <c r="AR324" s="114">
        <f>SUM(Audit[[#This Row],[Difference Winner]:[Difference Candidate 12]])</f>
        <v>0</v>
      </c>
      <c r="AS324" s="114">
        <f>IF(Audit[[#This Row],[Times p Drawn - With Replacement]]&gt;0, IF(Audit[[#This Row],[Canceled Differences]]&lt;0, Audit[[#This Row],[Max Differences]]+ABS(Audit[[#This Row],[Canceled Differences]]), Audit[[#This Row],[Max Differences]]), 0)</f>
        <v>0</v>
      </c>
      <c r="AT324" s="114">
        <f>'Sampling Data'!AB324</f>
        <v>2.0795145692434108E-2</v>
      </c>
      <c r="AU324" s="114">
        <f>IF(
      SUM(Audit[[#This Row],[Audit Losing Candidate]:[Audit Candidate 12]])
      &lt;&gt;0,
      (Audit[[#This Row],[Winning Candidate]]-Audit[[#This Row],[Losing Candidate]]-(Audit[[#This Row],[Audit Winning Candidate]]-Audit[[#This Row],[Audit Losing Candidate]]))/(Audit[[#Totals],[Winning Candidate]]-Audit[[#Totals],[Losing Candidate]]),
      0
)</f>
        <v>0</v>
      </c>
      <c r="AV3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4" s="114">
        <f>IF(Audit[[#This Row],[Max Relative Error (ep)]] = 0, 0, Audit[[#This Row],[Max Relative Error (ep)]]/Audit[[#This Row],[Error Bound (up) - Max. possible relative overstatement]])</f>
        <v>0</v>
      </c>
      <c r="BH3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4" s="114">
        <f t="shared" si="5"/>
        <v>1</v>
      </c>
      <c r="BJ324" s="114">
        <f>PRODUCT($BI$5:BI324)</f>
        <v>7.4038944863463699E-2</v>
      </c>
      <c r="BK324" s="112">
        <f>1 - Audit[[#This Row],[K-M P Value]]</f>
        <v>0.92596105513653626</v>
      </c>
      <c r="BL324" s="114" t="str">
        <f>IF(Audit[[#This Row],[K-M P Value]]&gt;1-'General Info'!$B$12,"Continue", "Stop")</f>
        <v>Stop</v>
      </c>
      <c r="BM324" s="113" t="b">
        <f>IF(Audit[[#This Row],[Status - Continue or stop audit]] = "Continue", TRUE, IF(BL323 = "Continue", TRUE, FALSE))</f>
        <v>0</v>
      </c>
      <c r="BN324" s="113"/>
    </row>
    <row r="325" spans="1:66" ht="15" hidden="1" customHeight="1" x14ac:dyDescent="0.35">
      <c r="A325" s="114" t="str">
        <f>'Sampling Data'!AI325</f>
        <v/>
      </c>
      <c r="B325" s="114" t="str">
        <f>'Sampling Data'!A325</f>
        <v>2202 CIN 22-B   (ED)</v>
      </c>
      <c r="C325" s="114">
        <f>'Sampling Data'!B325</f>
        <v>57</v>
      </c>
      <c r="D325" s="114">
        <f>'Sampling Data'!C325</f>
        <v>8</v>
      </c>
      <c r="E325" s="115">
        <f>'Sampling Data'!D325</f>
        <v>1</v>
      </c>
      <c r="F325" s="115">
        <f>'Sampling Data'!E325</f>
        <v>0</v>
      </c>
      <c r="G325" s="115">
        <f>'Sampling Data'!F325</f>
        <v>0</v>
      </c>
      <c r="H325" s="115">
        <f>'Sampling Data'!G325</f>
        <v>0</v>
      </c>
      <c r="I325" s="115">
        <f>'Sampling Data'!H325</f>
        <v>0</v>
      </c>
      <c r="J325" s="115">
        <f>'Sampling Data'!I325</f>
        <v>0</v>
      </c>
      <c r="K325" s="115">
        <f>'Sampling Data'!J325</f>
        <v>0</v>
      </c>
      <c r="L325" s="115">
        <f>'Sampling Data'!K325</f>
        <v>0</v>
      </c>
      <c r="M325" s="115">
        <f>'Sampling Data'!L325</f>
        <v>0</v>
      </c>
      <c r="N325" s="115">
        <f>'Sampling Data'!M325</f>
        <v>0</v>
      </c>
      <c r="O325" s="114">
        <f>'Sampling Data'!N325</f>
        <v>0</v>
      </c>
      <c r="P325" s="114">
        <f>'Sampling Data'!O325</f>
        <v>0</v>
      </c>
      <c r="Q325" s="114">
        <f>'Sampling Data'!P325</f>
        <v>66</v>
      </c>
      <c r="R325" s="114">
        <f>'Sampling Data'!AJ325</f>
        <v>0</v>
      </c>
      <c r="S325" s="116"/>
      <c r="T325" s="116"/>
      <c r="U325" s="117"/>
      <c r="V325" s="117"/>
      <c r="W325" s="116"/>
      <c r="X325" s="116"/>
      <c r="Y325" s="116"/>
      <c r="Z325" s="116"/>
      <c r="AA325" s="15"/>
      <c r="AB325" s="15"/>
      <c r="AC325" s="15"/>
      <c r="AD325" s="15"/>
      <c r="AE325" s="118" t="str">
        <f>IF(NOT(ISBLANK(Audit[[#This Row],[Audit Winning Candidate]])), Audit[[#This Row],[Audit Winning Candidate]]-Audit[[#This Row],[Winning Candidate]], "")</f>
        <v/>
      </c>
      <c r="AF325" s="114" t="str">
        <f>IF(NOT(ISBLANK(Audit[[#This Row],[Audit Losing Candidate]])), Audit[[#This Row],[Audit Losing Candidate]]-Audit[[#This Row],[Losing Candidate]], "")</f>
        <v/>
      </c>
      <c r="AG325" s="114" t="str">
        <f>IF(NOT(ISBLANK(Audit[[#This Row],[Audit Candidate 3]])), Audit[[#This Row],[Audit Candidate 3]]-Audit[[#This Row],[Candidate 3]], "")</f>
        <v/>
      </c>
      <c r="AH325" s="114" t="str">
        <f>IF(NOT(ISBLANK(Audit[[#This Row],[Audit Candidate 4]])),Audit[[#This Row],[Audit Candidate 4]]-Audit[[#This Row],[Candidate 4]], "")</f>
        <v/>
      </c>
      <c r="AI325" s="114" t="str">
        <f>IF(NOT(ISBLANK(Audit[[#This Row],[Audit Candidate 5]])), Audit[[#This Row],[Audit Candidate 5]]-Audit[[#This Row],[Candidate 5]], "")</f>
        <v/>
      </c>
      <c r="AJ325" s="114" t="str">
        <f>IF(NOT(ISBLANK(Audit[[#This Row],[Audit Candidate 6]])), Audit[[#This Row],[Audit Candidate 6]]-Audit[[#This Row],[Candidate 6]], "")</f>
        <v/>
      </c>
      <c r="AK325" s="114" t="str">
        <f>IF(NOT(ISBLANK(Audit[[#This Row],[Audit Candidate 7]])), Audit[[#This Row],[Audit Candidate 7]]-Audit[[#This Row],[Candidate 7]], "")</f>
        <v/>
      </c>
      <c r="AL325" s="114" t="str">
        <f>IF(NOT(ISBLANK(Audit[[#This Row],[Audit Candidate 8]])), Audit[[#This Row],[Audit Candidate 8]]-Audit[[#This Row],[Candidate 8]], "")</f>
        <v/>
      </c>
      <c r="AM325" s="114" t="str">
        <f>IF(NOT(ISBLANK(Audit[[#This Row],[Audit Candidate 9]])), Audit[[#This Row],[Audit Candidate 9]]-Audit[[#This Row],[Candidate 9]], "")</f>
        <v/>
      </c>
      <c r="AN325" s="114" t="str">
        <f>IF(NOT(ISBLANK(Audit[[#This Row],[Audit Candidate 10]])), Audit[[#This Row],[Audit Candidate 10]]-Audit[[#This Row],[Candidate 10]], "")</f>
        <v/>
      </c>
      <c r="AO325" s="114" t="str">
        <f>IF(NOT(ISBLANK(Audit[[#This Row],[Audit Candidate 11]])), Audit[[#This Row],[Audit Candidate 11]]-Audit[[#This Row],[Candidate 11]], "")</f>
        <v/>
      </c>
      <c r="AP325" s="114" t="str">
        <f>IF(NOT(ISBLANK(Audit[[#This Row],[Audit Candidate 12]])), Audit[[#This Row],[Audit Candidate 12]]-Audit[[#This Row],[Candidate 12]], "")</f>
        <v/>
      </c>
      <c r="AQ325" s="114">
        <f>SUMIF(Audit[[#This Row],[Difference Winner]:[Difference Candidate 12]], "&gt;0")</f>
        <v>0</v>
      </c>
      <c r="AR325" s="114">
        <f>SUM(Audit[[#This Row],[Difference Winner]:[Difference Candidate 12]])</f>
        <v>0</v>
      </c>
      <c r="AS325" s="114">
        <f>IF(Audit[[#This Row],[Times p Drawn - With Replacement]]&gt;0, IF(Audit[[#This Row],[Canceled Differences]]&lt;0, Audit[[#This Row],[Max Differences]]+ABS(Audit[[#This Row],[Canceled Differences]]), Audit[[#This Row],[Max Differences]]), 0)</f>
        <v>0</v>
      </c>
      <c r="AT325" s="114">
        <f>'Sampling Data'!AB325</f>
        <v>7.2688199228873015E-3</v>
      </c>
      <c r="AU325" s="114">
        <f>IF(
      SUM(Audit[[#This Row],[Audit Losing Candidate]:[Audit Candidate 12]])
      &lt;&gt;0,
      (Audit[[#This Row],[Winning Candidate]]-Audit[[#This Row],[Losing Candidate]]-(Audit[[#This Row],[Audit Winning Candidate]]-Audit[[#This Row],[Audit Losing Candidate]]))/(Audit[[#Totals],[Winning Candidate]]-Audit[[#Totals],[Losing Candidate]]),
      0
)</f>
        <v>0</v>
      </c>
      <c r="AV3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5" s="114">
        <f>IF(Audit[[#This Row],[Max Relative Error (ep)]] = 0, 0, Audit[[#This Row],[Max Relative Error (ep)]]/Audit[[#This Row],[Error Bound (up) - Max. possible relative overstatement]])</f>
        <v>0</v>
      </c>
      <c r="BH3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5" s="114">
        <f t="shared" si="5"/>
        <v>1</v>
      </c>
      <c r="BJ325" s="114">
        <f>PRODUCT($BI$5:BI325)</f>
        <v>7.4038944863463699E-2</v>
      </c>
      <c r="BK325" s="112">
        <f>1 - Audit[[#This Row],[K-M P Value]]</f>
        <v>0.92596105513653626</v>
      </c>
      <c r="BL325" s="114" t="str">
        <f>IF(Audit[[#This Row],[K-M P Value]]&gt;1-'General Info'!$B$12,"Continue", "Stop")</f>
        <v>Stop</v>
      </c>
      <c r="BM325" s="113" t="b">
        <f>IF(Audit[[#This Row],[Status - Continue or stop audit]] = "Continue", TRUE, IF(BL324 = "Continue", TRUE, FALSE))</f>
        <v>0</v>
      </c>
      <c r="BN325" s="113"/>
    </row>
    <row r="326" spans="1:66" ht="15" hidden="1" customHeight="1" x14ac:dyDescent="0.35">
      <c r="A326" s="114" t="str">
        <f>'Sampling Data'!AI326</f>
        <v/>
      </c>
      <c r="B326" s="114" t="str">
        <f>'Sampling Data'!A326</f>
        <v>2203 CIN 22-C   (ED)</v>
      </c>
      <c r="C326" s="114">
        <f>'Sampling Data'!B326</f>
        <v>31</v>
      </c>
      <c r="D326" s="114">
        <f>'Sampling Data'!C326</f>
        <v>1</v>
      </c>
      <c r="E326" s="115">
        <f>'Sampling Data'!D326</f>
        <v>1</v>
      </c>
      <c r="F326" s="115">
        <f>'Sampling Data'!E326</f>
        <v>0</v>
      </c>
      <c r="G326" s="115">
        <f>'Sampling Data'!F326</f>
        <v>0</v>
      </c>
      <c r="H326" s="115">
        <f>'Sampling Data'!G326</f>
        <v>0</v>
      </c>
      <c r="I326" s="115">
        <f>'Sampling Data'!H326</f>
        <v>0</v>
      </c>
      <c r="J326" s="115">
        <f>'Sampling Data'!I326</f>
        <v>0</v>
      </c>
      <c r="K326" s="115">
        <f>'Sampling Data'!J326</f>
        <v>0</v>
      </c>
      <c r="L326" s="115">
        <f>'Sampling Data'!K326</f>
        <v>0</v>
      </c>
      <c r="M326" s="115">
        <f>'Sampling Data'!L326</f>
        <v>0</v>
      </c>
      <c r="N326" s="115">
        <f>'Sampling Data'!M326</f>
        <v>0</v>
      </c>
      <c r="O326" s="114">
        <f>'Sampling Data'!N326</f>
        <v>0</v>
      </c>
      <c r="P326" s="114">
        <f>'Sampling Data'!O326</f>
        <v>0</v>
      </c>
      <c r="Q326" s="114">
        <f>'Sampling Data'!P326</f>
        <v>33</v>
      </c>
      <c r="R326" s="114">
        <f>'Sampling Data'!AJ326</f>
        <v>0</v>
      </c>
      <c r="S326" s="116"/>
      <c r="T326" s="116"/>
      <c r="U326" s="117"/>
      <c r="V326" s="117"/>
      <c r="W326" s="116"/>
      <c r="X326" s="116"/>
      <c r="Y326" s="116"/>
      <c r="Z326" s="116"/>
      <c r="AA326" s="15"/>
      <c r="AB326" s="15"/>
      <c r="AC326" s="15"/>
      <c r="AD326" s="15"/>
      <c r="AE326" s="118" t="str">
        <f>IF(NOT(ISBLANK(Audit[[#This Row],[Audit Winning Candidate]])), Audit[[#This Row],[Audit Winning Candidate]]-Audit[[#This Row],[Winning Candidate]], "")</f>
        <v/>
      </c>
      <c r="AF326" s="114" t="str">
        <f>IF(NOT(ISBLANK(Audit[[#This Row],[Audit Losing Candidate]])), Audit[[#This Row],[Audit Losing Candidate]]-Audit[[#This Row],[Losing Candidate]], "")</f>
        <v/>
      </c>
      <c r="AG326" s="114" t="str">
        <f>IF(NOT(ISBLANK(Audit[[#This Row],[Audit Candidate 3]])), Audit[[#This Row],[Audit Candidate 3]]-Audit[[#This Row],[Candidate 3]], "")</f>
        <v/>
      </c>
      <c r="AH326" s="114" t="str">
        <f>IF(NOT(ISBLANK(Audit[[#This Row],[Audit Candidate 4]])),Audit[[#This Row],[Audit Candidate 4]]-Audit[[#This Row],[Candidate 4]], "")</f>
        <v/>
      </c>
      <c r="AI326" s="114" t="str">
        <f>IF(NOT(ISBLANK(Audit[[#This Row],[Audit Candidate 5]])), Audit[[#This Row],[Audit Candidate 5]]-Audit[[#This Row],[Candidate 5]], "")</f>
        <v/>
      </c>
      <c r="AJ326" s="114" t="str">
        <f>IF(NOT(ISBLANK(Audit[[#This Row],[Audit Candidate 6]])), Audit[[#This Row],[Audit Candidate 6]]-Audit[[#This Row],[Candidate 6]], "")</f>
        <v/>
      </c>
      <c r="AK326" s="114" t="str">
        <f>IF(NOT(ISBLANK(Audit[[#This Row],[Audit Candidate 7]])), Audit[[#This Row],[Audit Candidate 7]]-Audit[[#This Row],[Candidate 7]], "")</f>
        <v/>
      </c>
      <c r="AL326" s="114" t="str">
        <f>IF(NOT(ISBLANK(Audit[[#This Row],[Audit Candidate 8]])), Audit[[#This Row],[Audit Candidate 8]]-Audit[[#This Row],[Candidate 8]], "")</f>
        <v/>
      </c>
      <c r="AM326" s="114" t="str">
        <f>IF(NOT(ISBLANK(Audit[[#This Row],[Audit Candidate 9]])), Audit[[#This Row],[Audit Candidate 9]]-Audit[[#This Row],[Candidate 9]], "")</f>
        <v/>
      </c>
      <c r="AN326" s="114" t="str">
        <f>IF(NOT(ISBLANK(Audit[[#This Row],[Audit Candidate 10]])), Audit[[#This Row],[Audit Candidate 10]]-Audit[[#This Row],[Candidate 10]], "")</f>
        <v/>
      </c>
      <c r="AO326" s="114" t="str">
        <f>IF(NOT(ISBLANK(Audit[[#This Row],[Audit Candidate 11]])), Audit[[#This Row],[Audit Candidate 11]]-Audit[[#This Row],[Candidate 11]], "")</f>
        <v/>
      </c>
      <c r="AP326" s="114" t="str">
        <f>IF(NOT(ISBLANK(Audit[[#This Row],[Audit Candidate 12]])), Audit[[#This Row],[Audit Candidate 12]]-Audit[[#This Row],[Candidate 12]], "")</f>
        <v/>
      </c>
      <c r="AQ326" s="114">
        <f>SUMIF(Audit[[#This Row],[Difference Winner]:[Difference Candidate 12]], "&gt;0")</f>
        <v>0</v>
      </c>
      <c r="AR326" s="114">
        <f>SUM(Audit[[#This Row],[Difference Winner]:[Difference Candidate 12]])</f>
        <v>0</v>
      </c>
      <c r="AS326" s="114">
        <f>IF(Audit[[#This Row],[Times p Drawn - With Replacement]]&gt;0, IF(Audit[[#This Row],[Canceled Differences]]&lt;0, Audit[[#This Row],[Max Differences]]+ABS(Audit[[#This Row],[Canceled Differences]]), Audit[[#This Row],[Max Differences]]), 0)</f>
        <v>0</v>
      </c>
      <c r="AT326" s="114">
        <f>'Sampling Data'!AB326</f>
        <v>3.9820491751469565E-3</v>
      </c>
      <c r="AU326" s="114">
        <f>IF(
      SUM(Audit[[#This Row],[Audit Losing Candidate]:[Audit Candidate 12]])
      &lt;&gt;0,
      (Audit[[#This Row],[Winning Candidate]]-Audit[[#This Row],[Losing Candidate]]-(Audit[[#This Row],[Audit Winning Candidate]]-Audit[[#This Row],[Audit Losing Candidate]]))/(Audit[[#Totals],[Winning Candidate]]-Audit[[#Totals],[Losing Candidate]]),
      0
)</f>
        <v>0</v>
      </c>
      <c r="AV3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6" s="114">
        <f>IF(Audit[[#This Row],[Max Relative Error (ep)]] = 0, 0, Audit[[#This Row],[Max Relative Error (ep)]]/Audit[[#This Row],[Error Bound (up) - Max. possible relative overstatement]])</f>
        <v>0</v>
      </c>
      <c r="BH3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6" s="114">
        <f t="shared" si="5"/>
        <v>1</v>
      </c>
      <c r="BJ326" s="114">
        <f>PRODUCT($BI$5:BI326)</f>
        <v>7.4038944863463699E-2</v>
      </c>
      <c r="BK326" s="112">
        <f>1 - Audit[[#This Row],[K-M P Value]]</f>
        <v>0.92596105513653626</v>
      </c>
      <c r="BL326" s="114" t="str">
        <f>IF(Audit[[#This Row],[K-M P Value]]&gt;1-'General Info'!$B$12,"Continue", "Stop")</f>
        <v>Stop</v>
      </c>
      <c r="BM326" s="113" t="b">
        <f>IF(Audit[[#This Row],[Status - Continue or stop audit]] = "Continue", TRUE, IF(BL325 = "Continue", TRUE, FALSE))</f>
        <v>0</v>
      </c>
      <c r="BN326" s="113"/>
    </row>
    <row r="327" spans="1:66" ht="15" hidden="1" customHeight="1" x14ac:dyDescent="0.35">
      <c r="A327" s="114" t="str">
        <f>'Sampling Data'!AI327</f>
        <v/>
      </c>
      <c r="B327" s="114" t="str">
        <f>'Sampling Data'!A327</f>
        <v>2301 CIN 23-A   (ED)</v>
      </c>
      <c r="C327" s="114">
        <f>'Sampling Data'!B327</f>
        <v>177</v>
      </c>
      <c r="D327" s="114">
        <f>'Sampling Data'!C327</f>
        <v>10</v>
      </c>
      <c r="E327" s="115">
        <f>'Sampling Data'!D327</f>
        <v>3</v>
      </c>
      <c r="F327" s="115">
        <f>'Sampling Data'!E327</f>
        <v>0</v>
      </c>
      <c r="G327" s="115">
        <f>'Sampling Data'!F327</f>
        <v>0</v>
      </c>
      <c r="H327" s="115">
        <f>'Sampling Data'!G327</f>
        <v>0</v>
      </c>
      <c r="I327" s="115">
        <f>'Sampling Data'!H327</f>
        <v>0</v>
      </c>
      <c r="J327" s="115">
        <f>'Sampling Data'!I327</f>
        <v>0</v>
      </c>
      <c r="K327" s="115">
        <f>'Sampling Data'!J327</f>
        <v>0</v>
      </c>
      <c r="L327" s="115">
        <f>'Sampling Data'!K327</f>
        <v>0</v>
      </c>
      <c r="M327" s="115">
        <f>'Sampling Data'!L327</f>
        <v>0</v>
      </c>
      <c r="N327" s="115">
        <f>'Sampling Data'!M327</f>
        <v>0</v>
      </c>
      <c r="O327" s="114">
        <f>'Sampling Data'!N327</f>
        <v>0</v>
      </c>
      <c r="P327" s="114">
        <f>'Sampling Data'!O327</f>
        <v>0</v>
      </c>
      <c r="Q327" s="114">
        <f>'Sampling Data'!P327</f>
        <v>190</v>
      </c>
      <c r="R327" s="114">
        <f>'Sampling Data'!AJ327</f>
        <v>0</v>
      </c>
      <c r="S327" s="116"/>
      <c r="T327" s="116"/>
      <c r="U327" s="117"/>
      <c r="V327" s="117"/>
      <c r="W327" s="116"/>
      <c r="X327" s="116"/>
      <c r="Y327" s="116"/>
      <c r="Z327" s="116"/>
      <c r="AA327" s="15"/>
      <c r="AB327" s="15"/>
      <c r="AC327" s="15"/>
      <c r="AD327" s="15"/>
      <c r="AE327" s="118" t="str">
        <f>IF(NOT(ISBLANK(Audit[[#This Row],[Audit Winning Candidate]])), Audit[[#This Row],[Audit Winning Candidate]]-Audit[[#This Row],[Winning Candidate]], "")</f>
        <v/>
      </c>
      <c r="AF327" s="114" t="str">
        <f>IF(NOT(ISBLANK(Audit[[#This Row],[Audit Losing Candidate]])), Audit[[#This Row],[Audit Losing Candidate]]-Audit[[#This Row],[Losing Candidate]], "")</f>
        <v/>
      </c>
      <c r="AG327" s="114" t="str">
        <f>IF(NOT(ISBLANK(Audit[[#This Row],[Audit Candidate 3]])), Audit[[#This Row],[Audit Candidate 3]]-Audit[[#This Row],[Candidate 3]], "")</f>
        <v/>
      </c>
      <c r="AH327" s="114" t="str">
        <f>IF(NOT(ISBLANK(Audit[[#This Row],[Audit Candidate 4]])),Audit[[#This Row],[Audit Candidate 4]]-Audit[[#This Row],[Candidate 4]], "")</f>
        <v/>
      </c>
      <c r="AI327" s="114" t="str">
        <f>IF(NOT(ISBLANK(Audit[[#This Row],[Audit Candidate 5]])), Audit[[#This Row],[Audit Candidate 5]]-Audit[[#This Row],[Candidate 5]], "")</f>
        <v/>
      </c>
      <c r="AJ327" s="114" t="str">
        <f>IF(NOT(ISBLANK(Audit[[#This Row],[Audit Candidate 6]])), Audit[[#This Row],[Audit Candidate 6]]-Audit[[#This Row],[Candidate 6]], "")</f>
        <v/>
      </c>
      <c r="AK327" s="114" t="str">
        <f>IF(NOT(ISBLANK(Audit[[#This Row],[Audit Candidate 7]])), Audit[[#This Row],[Audit Candidate 7]]-Audit[[#This Row],[Candidate 7]], "")</f>
        <v/>
      </c>
      <c r="AL327" s="114" t="str">
        <f>IF(NOT(ISBLANK(Audit[[#This Row],[Audit Candidate 8]])), Audit[[#This Row],[Audit Candidate 8]]-Audit[[#This Row],[Candidate 8]], "")</f>
        <v/>
      </c>
      <c r="AM327" s="114" t="str">
        <f>IF(NOT(ISBLANK(Audit[[#This Row],[Audit Candidate 9]])), Audit[[#This Row],[Audit Candidate 9]]-Audit[[#This Row],[Candidate 9]], "")</f>
        <v/>
      </c>
      <c r="AN327" s="114" t="str">
        <f>IF(NOT(ISBLANK(Audit[[#This Row],[Audit Candidate 10]])), Audit[[#This Row],[Audit Candidate 10]]-Audit[[#This Row],[Candidate 10]], "")</f>
        <v/>
      </c>
      <c r="AO327" s="114" t="str">
        <f>IF(NOT(ISBLANK(Audit[[#This Row],[Audit Candidate 11]])), Audit[[#This Row],[Audit Candidate 11]]-Audit[[#This Row],[Candidate 11]], "")</f>
        <v/>
      </c>
      <c r="AP327" s="114" t="str">
        <f>IF(NOT(ISBLANK(Audit[[#This Row],[Audit Candidate 12]])), Audit[[#This Row],[Audit Candidate 12]]-Audit[[#This Row],[Candidate 12]], "")</f>
        <v/>
      </c>
      <c r="AQ327" s="114">
        <f>SUMIF(Audit[[#This Row],[Difference Winner]:[Difference Candidate 12]], "&gt;0")</f>
        <v>0</v>
      </c>
      <c r="AR327" s="114">
        <f>SUM(Audit[[#This Row],[Difference Winner]:[Difference Candidate 12]])</f>
        <v>0</v>
      </c>
      <c r="AS327" s="114">
        <f>IF(Audit[[#This Row],[Times p Drawn - With Replacement]]&gt;0, IF(Audit[[#This Row],[Canceled Differences]]&lt;0, Audit[[#This Row],[Max Differences]]+ABS(Audit[[#This Row],[Canceled Differences]]), Audit[[#This Row],[Max Differences]]), 0)</f>
        <v>0</v>
      </c>
      <c r="AT327" s="114">
        <f>'Sampling Data'!AB327</f>
        <v>2.2564945325832753E-2</v>
      </c>
      <c r="AU327" s="114">
        <f>IF(
      SUM(Audit[[#This Row],[Audit Losing Candidate]:[Audit Candidate 12]])
      &lt;&gt;0,
      (Audit[[#This Row],[Winning Candidate]]-Audit[[#This Row],[Losing Candidate]]-(Audit[[#This Row],[Audit Winning Candidate]]-Audit[[#This Row],[Audit Losing Candidate]]))/(Audit[[#Totals],[Winning Candidate]]-Audit[[#Totals],[Losing Candidate]]),
      0
)</f>
        <v>0</v>
      </c>
      <c r="AV3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7" s="114">
        <f>IF(Audit[[#This Row],[Max Relative Error (ep)]] = 0, 0, Audit[[#This Row],[Max Relative Error (ep)]]/Audit[[#This Row],[Error Bound (up) - Max. possible relative overstatement]])</f>
        <v>0</v>
      </c>
      <c r="BH3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7" s="114">
        <f t="shared" si="5"/>
        <v>1</v>
      </c>
      <c r="BJ327" s="114">
        <f>PRODUCT($BI$5:BI327)</f>
        <v>7.4038944863463699E-2</v>
      </c>
      <c r="BK327" s="112">
        <f>1 - Audit[[#This Row],[K-M P Value]]</f>
        <v>0.92596105513653626</v>
      </c>
      <c r="BL327" s="114" t="str">
        <f>IF(Audit[[#This Row],[K-M P Value]]&gt;1-'General Info'!$B$12,"Continue", "Stop")</f>
        <v>Stop</v>
      </c>
      <c r="BM327" s="113" t="b">
        <f>IF(Audit[[#This Row],[Status - Continue or stop audit]] = "Continue", TRUE, IF(BL326 = "Continue", TRUE, FALSE))</f>
        <v>0</v>
      </c>
      <c r="BN327" s="113"/>
    </row>
    <row r="328" spans="1:66" ht="15" hidden="1" customHeight="1" x14ac:dyDescent="0.35">
      <c r="A328" s="114" t="str">
        <f>'Sampling Data'!AI328</f>
        <v/>
      </c>
      <c r="B328" s="114" t="str">
        <f>'Sampling Data'!A328</f>
        <v>2302 CIN 23-B   (ED)</v>
      </c>
      <c r="C328" s="114">
        <f>'Sampling Data'!B328</f>
        <v>52</v>
      </c>
      <c r="D328" s="114">
        <f>'Sampling Data'!C328</f>
        <v>4</v>
      </c>
      <c r="E328" s="115">
        <f>'Sampling Data'!D328</f>
        <v>3</v>
      </c>
      <c r="F328" s="115">
        <f>'Sampling Data'!E328</f>
        <v>0</v>
      </c>
      <c r="G328" s="115">
        <f>'Sampling Data'!F328</f>
        <v>0</v>
      </c>
      <c r="H328" s="115">
        <f>'Sampling Data'!G328</f>
        <v>0</v>
      </c>
      <c r="I328" s="115">
        <f>'Sampling Data'!H328</f>
        <v>0</v>
      </c>
      <c r="J328" s="115">
        <f>'Sampling Data'!I328</f>
        <v>0</v>
      </c>
      <c r="K328" s="115">
        <f>'Sampling Data'!J328</f>
        <v>0</v>
      </c>
      <c r="L328" s="115">
        <f>'Sampling Data'!K328</f>
        <v>0</v>
      </c>
      <c r="M328" s="115">
        <f>'Sampling Data'!L328</f>
        <v>0</v>
      </c>
      <c r="N328" s="115">
        <f>'Sampling Data'!M328</f>
        <v>0</v>
      </c>
      <c r="O328" s="114">
        <f>'Sampling Data'!N328</f>
        <v>0</v>
      </c>
      <c r="P328" s="114">
        <f>'Sampling Data'!O328</f>
        <v>0</v>
      </c>
      <c r="Q328" s="114">
        <f>'Sampling Data'!P328</f>
        <v>59</v>
      </c>
      <c r="R328" s="114">
        <f>'Sampling Data'!AJ328</f>
        <v>0</v>
      </c>
      <c r="S328" s="116"/>
      <c r="T328" s="116"/>
      <c r="U328" s="117"/>
      <c r="V328" s="117"/>
      <c r="W328" s="116"/>
      <c r="X328" s="116"/>
      <c r="Y328" s="116"/>
      <c r="Z328" s="116"/>
      <c r="AA328" s="15"/>
      <c r="AB328" s="15"/>
      <c r="AC328" s="15"/>
      <c r="AD328" s="15"/>
      <c r="AE328" s="118" t="str">
        <f>IF(NOT(ISBLANK(Audit[[#This Row],[Audit Winning Candidate]])), Audit[[#This Row],[Audit Winning Candidate]]-Audit[[#This Row],[Winning Candidate]], "")</f>
        <v/>
      </c>
      <c r="AF328" s="114" t="str">
        <f>IF(NOT(ISBLANK(Audit[[#This Row],[Audit Losing Candidate]])), Audit[[#This Row],[Audit Losing Candidate]]-Audit[[#This Row],[Losing Candidate]], "")</f>
        <v/>
      </c>
      <c r="AG328" s="114" t="str">
        <f>IF(NOT(ISBLANK(Audit[[#This Row],[Audit Candidate 3]])), Audit[[#This Row],[Audit Candidate 3]]-Audit[[#This Row],[Candidate 3]], "")</f>
        <v/>
      </c>
      <c r="AH328" s="114" t="str">
        <f>IF(NOT(ISBLANK(Audit[[#This Row],[Audit Candidate 4]])),Audit[[#This Row],[Audit Candidate 4]]-Audit[[#This Row],[Candidate 4]], "")</f>
        <v/>
      </c>
      <c r="AI328" s="114" t="str">
        <f>IF(NOT(ISBLANK(Audit[[#This Row],[Audit Candidate 5]])), Audit[[#This Row],[Audit Candidate 5]]-Audit[[#This Row],[Candidate 5]], "")</f>
        <v/>
      </c>
      <c r="AJ328" s="114" t="str">
        <f>IF(NOT(ISBLANK(Audit[[#This Row],[Audit Candidate 6]])), Audit[[#This Row],[Audit Candidate 6]]-Audit[[#This Row],[Candidate 6]], "")</f>
        <v/>
      </c>
      <c r="AK328" s="114" t="str">
        <f>IF(NOT(ISBLANK(Audit[[#This Row],[Audit Candidate 7]])), Audit[[#This Row],[Audit Candidate 7]]-Audit[[#This Row],[Candidate 7]], "")</f>
        <v/>
      </c>
      <c r="AL328" s="114" t="str">
        <f>IF(NOT(ISBLANK(Audit[[#This Row],[Audit Candidate 8]])), Audit[[#This Row],[Audit Candidate 8]]-Audit[[#This Row],[Candidate 8]], "")</f>
        <v/>
      </c>
      <c r="AM328" s="114" t="str">
        <f>IF(NOT(ISBLANK(Audit[[#This Row],[Audit Candidate 9]])), Audit[[#This Row],[Audit Candidate 9]]-Audit[[#This Row],[Candidate 9]], "")</f>
        <v/>
      </c>
      <c r="AN328" s="114" t="str">
        <f>IF(NOT(ISBLANK(Audit[[#This Row],[Audit Candidate 10]])), Audit[[#This Row],[Audit Candidate 10]]-Audit[[#This Row],[Candidate 10]], "")</f>
        <v/>
      </c>
      <c r="AO328" s="114" t="str">
        <f>IF(NOT(ISBLANK(Audit[[#This Row],[Audit Candidate 11]])), Audit[[#This Row],[Audit Candidate 11]]-Audit[[#This Row],[Candidate 11]], "")</f>
        <v/>
      </c>
      <c r="AP328" s="114" t="str">
        <f>IF(NOT(ISBLANK(Audit[[#This Row],[Audit Candidate 12]])), Audit[[#This Row],[Audit Candidate 12]]-Audit[[#This Row],[Candidate 12]], "")</f>
        <v/>
      </c>
      <c r="AQ328" s="114">
        <f>SUMIF(Audit[[#This Row],[Difference Winner]:[Difference Candidate 12]], "&gt;0")</f>
        <v>0</v>
      </c>
      <c r="AR328" s="114">
        <f>SUM(Audit[[#This Row],[Difference Winner]:[Difference Candidate 12]])</f>
        <v>0</v>
      </c>
      <c r="AS328" s="114">
        <f>IF(Audit[[#This Row],[Times p Drawn - With Replacement]]&gt;0, IF(Audit[[#This Row],[Canceled Differences]]&lt;0, Audit[[#This Row],[Max Differences]]+ABS(Audit[[#This Row],[Canceled Differences]]), Audit[[#This Row],[Max Differences]]), 0)</f>
        <v>0</v>
      </c>
      <c r="AT328" s="114">
        <f>'Sampling Data'!AB328</f>
        <v>6.7631628847734026E-3</v>
      </c>
      <c r="AU328" s="114">
        <f>IF(
      SUM(Audit[[#This Row],[Audit Losing Candidate]:[Audit Candidate 12]])
      &lt;&gt;0,
      (Audit[[#This Row],[Winning Candidate]]-Audit[[#This Row],[Losing Candidate]]-(Audit[[#This Row],[Audit Winning Candidate]]-Audit[[#This Row],[Audit Losing Candidate]]))/(Audit[[#Totals],[Winning Candidate]]-Audit[[#Totals],[Losing Candidate]]),
      0
)</f>
        <v>0</v>
      </c>
      <c r="AV3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8" s="114">
        <f>IF(Audit[[#This Row],[Max Relative Error (ep)]] = 0, 0, Audit[[#This Row],[Max Relative Error (ep)]]/Audit[[#This Row],[Error Bound (up) - Max. possible relative overstatement]])</f>
        <v>0</v>
      </c>
      <c r="BH3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8" s="114">
        <f t="shared" si="5"/>
        <v>1</v>
      </c>
      <c r="BJ328" s="114">
        <f>PRODUCT($BI$5:BI328)</f>
        <v>7.4038944863463699E-2</v>
      </c>
      <c r="BK328" s="112">
        <f>1 - Audit[[#This Row],[K-M P Value]]</f>
        <v>0.92596105513653626</v>
      </c>
      <c r="BL328" s="114" t="str">
        <f>IF(Audit[[#This Row],[K-M P Value]]&gt;1-'General Info'!$B$12,"Continue", "Stop")</f>
        <v>Stop</v>
      </c>
      <c r="BM328" s="113" t="b">
        <f>IF(Audit[[#This Row],[Status - Continue or stop audit]] = "Continue", TRUE, IF(BL327 = "Continue", TRUE, FALSE))</f>
        <v>0</v>
      </c>
      <c r="BN328" s="113"/>
    </row>
    <row r="329" spans="1:66" ht="15" hidden="1" customHeight="1" x14ac:dyDescent="0.35">
      <c r="A329" s="114" t="str">
        <f>'Sampling Data'!AI329</f>
        <v/>
      </c>
      <c r="B329" s="114" t="str">
        <f>'Sampling Data'!A329</f>
        <v>2303 CIN 23-C   (ED)</v>
      </c>
      <c r="C329" s="114">
        <f>'Sampling Data'!B329</f>
        <v>187</v>
      </c>
      <c r="D329" s="114">
        <f>'Sampling Data'!C329</f>
        <v>4</v>
      </c>
      <c r="E329" s="115">
        <f>'Sampling Data'!D329</f>
        <v>5</v>
      </c>
      <c r="F329" s="115">
        <f>'Sampling Data'!E329</f>
        <v>0</v>
      </c>
      <c r="G329" s="115">
        <f>'Sampling Data'!F329</f>
        <v>0</v>
      </c>
      <c r="H329" s="115">
        <f>'Sampling Data'!G329</f>
        <v>0</v>
      </c>
      <c r="I329" s="115">
        <f>'Sampling Data'!H329</f>
        <v>0</v>
      </c>
      <c r="J329" s="115">
        <f>'Sampling Data'!I329</f>
        <v>0</v>
      </c>
      <c r="K329" s="115">
        <f>'Sampling Data'!J329</f>
        <v>0</v>
      </c>
      <c r="L329" s="115">
        <f>'Sampling Data'!K329</f>
        <v>0</v>
      </c>
      <c r="M329" s="115">
        <f>'Sampling Data'!L329</f>
        <v>0</v>
      </c>
      <c r="N329" s="115">
        <f>'Sampling Data'!M329</f>
        <v>0</v>
      </c>
      <c r="O329" s="114">
        <f>'Sampling Data'!N329</f>
        <v>0</v>
      </c>
      <c r="P329" s="114">
        <f>'Sampling Data'!O329</f>
        <v>0</v>
      </c>
      <c r="Q329" s="114">
        <f>'Sampling Data'!P329</f>
        <v>196</v>
      </c>
      <c r="R329" s="114">
        <f>'Sampling Data'!AJ329</f>
        <v>0</v>
      </c>
      <c r="S329" s="116"/>
      <c r="T329" s="116"/>
      <c r="U329" s="117"/>
      <c r="V329" s="117"/>
      <c r="W329" s="116"/>
      <c r="X329" s="116"/>
      <c r="Y329" s="116"/>
      <c r="Z329" s="116"/>
      <c r="AA329" s="15"/>
      <c r="AB329" s="15"/>
      <c r="AC329" s="15"/>
      <c r="AD329" s="15"/>
      <c r="AE329" s="118" t="str">
        <f>IF(NOT(ISBLANK(Audit[[#This Row],[Audit Winning Candidate]])), Audit[[#This Row],[Audit Winning Candidate]]-Audit[[#This Row],[Winning Candidate]], "")</f>
        <v/>
      </c>
      <c r="AF329" s="114" t="str">
        <f>IF(NOT(ISBLANK(Audit[[#This Row],[Audit Losing Candidate]])), Audit[[#This Row],[Audit Losing Candidate]]-Audit[[#This Row],[Losing Candidate]], "")</f>
        <v/>
      </c>
      <c r="AG329" s="114" t="str">
        <f>IF(NOT(ISBLANK(Audit[[#This Row],[Audit Candidate 3]])), Audit[[#This Row],[Audit Candidate 3]]-Audit[[#This Row],[Candidate 3]], "")</f>
        <v/>
      </c>
      <c r="AH329" s="114" t="str">
        <f>IF(NOT(ISBLANK(Audit[[#This Row],[Audit Candidate 4]])),Audit[[#This Row],[Audit Candidate 4]]-Audit[[#This Row],[Candidate 4]], "")</f>
        <v/>
      </c>
      <c r="AI329" s="114" t="str">
        <f>IF(NOT(ISBLANK(Audit[[#This Row],[Audit Candidate 5]])), Audit[[#This Row],[Audit Candidate 5]]-Audit[[#This Row],[Candidate 5]], "")</f>
        <v/>
      </c>
      <c r="AJ329" s="114" t="str">
        <f>IF(NOT(ISBLANK(Audit[[#This Row],[Audit Candidate 6]])), Audit[[#This Row],[Audit Candidate 6]]-Audit[[#This Row],[Candidate 6]], "")</f>
        <v/>
      </c>
      <c r="AK329" s="114" t="str">
        <f>IF(NOT(ISBLANK(Audit[[#This Row],[Audit Candidate 7]])), Audit[[#This Row],[Audit Candidate 7]]-Audit[[#This Row],[Candidate 7]], "")</f>
        <v/>
      </c>
      <c r="AL329" s="114" t="str">
        <f>IF(NOT(ISBLANK(Audit[[#This Row],[Audit Candidate 8]])), Audit[[#This Row],[Audit Candidate 8]]-Audit[[#This Row],[Candidate 8]], "")</f>
        <v/>
      </c>
      <c r="AM329" s="114" t="str">
        <f>IF(NOT(ISBLANK(Audit[[#This Row],[Audit Candidate 9]])), Audit[[#This Row],[Audit Candidate 9]]-Audit[[#This Row],[Candidate 9]], "")</f>
        <v/>
      </c>
      <c r="AN329" s="114" t="str">
        <f>IF(NOT(ISBLANK(Audit[[#This Row],[Audit Candidate 10]])), Audit[[#This Row],[Audit Candidate 10]]-Audit[[#This Row],[Candidate 10]], "")</f>
        <v/>
      </c>
      <c r="AO329" s="114" t="str">
        <f>IF(NOT(ISBLANK(Audit[[#This Row],[Audit Candidate 11]])), Audit[[#This Row],[Audit Candidate 11]]-Audit[[#This Row],[Candidate 11]], "")</f>
        <v/>
      </c>
      <c r="AP329" s="114" t="str">
        <f>IF(NOT(ISBLANK(Audit[[#This Row],[Audit Candidate 12]])), Audit[[#This Row],[Audit Candidate 12]]-Audit[[#This Row],[Candidate 12]], "")</f>
        <v/>
      </c>
      <c r="AQ329" s="114">
        <f>SUMIF(Audit[[#This Row],[Difference Winner]:[Difference Candidate 12]], "&gt;0")</f>
        <v>0</v>
      </c>
      <c r="AR329" s="114">
        <f>SUM(Audit[[#This Row],[Difference Winner]:[Difference Candidate 12]])</f>
        <v>0</v>
      </c>
      <c r="AS329" s="114">
        <f>IF(Audit[[#This Row],[Times p Drawn - With Replacement]]&gt;0, IF(Audit[[#This Row],[Canceled Differences]]&lt;0, Audit[[#This Row],[Max Differences]]+ABS(Audit[[#This Row],[Canceled Differences]]), Audit[[#This Row],[Max Differences]]), 0)</f>
        <v>0</v>
      </c>
      <c r="AT329" s="114">
        <f>'Sampling Data'!AB329</f>
        <v>2.3955502180645977E-2</v>
      </c>
      <c r="AU329" s="114">
        <f>IF(
      SUM(Audit[[#This Row],[Audit Losing Candidate]:[Audit Candidate 12]])
      &lt;&gt;0,
      (Audit[[#This Row],[Winning Candidate]]-Audit[[#This Row],[Losing Candidate]]-(Audit[[#This Row],[Audit Winning Candidate]]-Audit[[#This Row],[Audit Losing Candidate]]))/(Audit[[#Totals],[Winning Candidate]]-Audit[[#Totals],[Losing Candidate]]),
      0
)</f>
        <v>0</v>
      </c>
      <c r="AV3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9" s="114">
        <f>IF(Audit[[#This Row],[Max Relative Error (ep)]] = 0, 0, Audit[[#This Row],[Max Relative Error (ep)]]/Audit[[#This Row],[Error Bound (up) - Max. possible relative overstatement]])</f>
        <v>0</v>
      </c>
      <c r="BH3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29" s="114">
        <f t="shared" si="5"/>
        <v>1</v>
      </c>
      <c r="BJ329" s="114">
        <f>PRODUCT($BI$5:BI329)</f>
        <v>7.4038944863463699E-2</v>
      </c>
      <c r="BK329" s="112">
        <f>1 - Audit[[#This Row],[K-M P Value]]</f>
        <v>0.92596105513653626</v>
      </c>
      <c r="BL329" s="114" t="str">
        <f>IF(Audit[[#This Row],[K-M P Value]]&gt;1-'General Info'!$B$12,"Continue", "Stop")</f>
        <v>Stop</v>
      </c>
      <c r="BM329" s="113" t="b">
        <f>IF(Audit[[#This Row],[Status - Continue or stop audit]] = "Continue", TRUE, IF(BL328 = "Continue", TRUE, FALSE))</f>
        <v>0</v>
      </c>
      <c r="BN329" s="113"/>
    </row>
    <row r="330" spans="1:66" ht="15" hidden="1" customHeight="1" x14ac:dyDescent="0.35">
      <c r="A330" s="114" t="str">
        <f>'Sampling Data'!AI330</f>
        <v/>
      </c>
      <c r="B330" s="114" t="str">
        <f>'Sampling Data'!A330</f>
        <v>2304 CIN 23-D   (ED)</v>
      </c>
      <c r="C330" s="114">
        <f>'Sampling Data'!B330</f>
        <v>258</v>
      </c>
      <c r="D330" s="114">
        <f>'Sampling Data'!C330</f>
        <v>11</v>
      </c>
      <c r="E330" s="115">
        <f>'Sampling Data'!D330</f>
        <v>1</v>
      </c>
      <c r="F330" s="115">
        <f>'Sampling Data'!E330</f>
        <v>0</v>
      </c>
      <c r="G330" s="115">
        <f>'Sampling Data'!F330</f>
        <v>0</v>
      </c>
      <c r="H330" s="115">
        <f>'Sampling Data'!G330</f>
        <v>0</v>
      </c>
      <c r="I330" s="115">
        <f>'Sampling Data'!H330</f>
        <v>0</v>
      </c>
      <c r="J330" s="115">
        <f>'Sampling Data'!I330</f>
        <v>0</v>
      </c>
      <c r="K330" s="115">
        <f>'Sampling Data'!J330</f>
        <v>0</v>
      </c>
      <c r="L330" s="115">
        <f>'Sampling Data'!K330</f>
        <v>0</v>
      </c>
      <c r="M330" s="115">
        <f>'Sampling Data'!L330</f>
        <v>0</v>
      </c>
      <c r="N330" s="115">
        <f>'Sampling Data'!M330</f>
        <v>0</v>
      </c>
      <c r="O330" s="114">
        <f>'Sampling Data'!N330</f>
        <v>1</v>
      </c>
      <c r="P330" s="114">
        <f>'Sampling Data'!O330</f>
        <v>2</v>
      </c>
      <c r="Q330" s="114">
        <f>'Sampling Data'!P330</f>
        <v>273</v>
      </c>
      <c r="R330" s="114">
        <f>'Sampling Data'!AJ330</f>
        <v>0</v>
      </c>
      <c r="S330" s="116"/>
      <c r="T330" s="116"/>
      <c r="U330" s="117"/>
      <c r="V330" s="117"/>
      <c r="W330" s="116"/>
      <c r="X330" s="116"/>
      <c r="Y330" s="116"/>
      <c r="Z330" s="116"/>
      <c r="AA330" s="15"/>
      <c r="AB330" s="15"/>
      <c r="AC330" s="15"/>
      <c r="AD330" s="15"/>
      <c r="AE330" s="118" t="str">
        <f>IF(NOT(ISBLANK(Audit[[#This Row],[Audit Winning Candidate]])), Audit[[#This Row],[Audit Winning Candidate]]-Audit[[#This Row],[Winning Candidate]], "")</f>
        <v/>
      </c>
      <c r="AF330" s="114" t="str">
        <f>IF(NOT(ISBLANK(Audit[[#This Row],[Audit Losing Candidate]])), Audit[[#This Row],[Audit Losing Candidate]]-Audit[[#This Row],[Losing Candidate]], "")</f>
        <v/>
      </c>
      <c r="AG330" s="114" t="str">
        <f>IF(NOT(ISBLANK(Audit[[#This Row],[Audit Candidate 3]])), Audit[[#This Row],[Audit Candidate 3]]-Audit[[#This Row],[Candidate 3]], "")</f>
        <v/>
      </c>
      <c r="AH330" s="114" t="str">
        <f>IF(NOT(ISBLANK(Audit[[#This Row],[Audit Candidate 4]])),Audit[[#This Row],[Audit Candidate 4]]-Audit[[#This Row],[Candidate 4]], "")</f>
        <v/>
      </c>
      <c r="AI330" s="114" t="str">
        <f>IF(NOT(ISBLANK(Audit[[#This Row],[Audit Candidate 5]])), Audit[[#This Row],[Audit Candidate 5]]-Audit[[#This Row],[Candidate 5]], "")</f>
        <v/>
      </c>
      <c r="AJ330" s="114" t="str">
        <f>IF(NOT(ISBLANK(Audit[[#This Row],[Audit Candidate 6]])), Audit[[#This Row],[Audit Candidate 6]]-Audit[[#This Row],[Candidate 6]], "")</f>
        <v/>
      </c>
      <c r="AK330" s="114" t="str">
        <f>IF(NOT(ISBLANK(Audit[[#This Row],[Audit Candidate 7]])), Audit[[#This Row],[Audit Candidate 7]]-Audit[[#This Row],[Candidate 7]], "")</f>
        <v/>
      </c>
      <c r="AL330" s="114" t="str">
        <f>IF(NOT(ISBLANK(Audit[[#This Row],[Audit Candidate 8]])), Audit[[#This Row],[Audit Candidate 8]]-Audit[[#This Row],[Candidate 8]], "")</f>
        <v/>
      </c>
      <c r="AM330" s="114" t="str">
        <f>IF(NOT(ISBLANK(Audit[[#This Row],[Audit Candidate 9]])), Audit[[#This Row],[Audit Candidate 9]]-Audit[[#This Row],[Candidate 9]], "")</f>
        <v/>
      </c>
      <c r="AN330" s="114" t="str">
        <f>IF(NOT(ISBLANK(Audit[[#This Row],[Audit Candidate 10]])), Audit[[#This Row],[Audit Candidate 10]]-Audit[[#This Row],[Candidate 10]], "")</f>
        <v/>
      </c>
      <c r="AO330" s="114" t="str">
        <f>IF(NOT(ISBLANK(Audit[[#This Row],[Audit Candidate 11]])), Audit[[#This Row],[Audit Candidate 11]]-Audit[[#This Row],[Candidate 11]], "")</f>
        <v/>
      </c>
      <c r="AP330" s="114" t="str">
        <f>IF(NOT(ISBLANK(Audit[[#This Row],[Audit Candidate 12]])), Audit[[#This Row],[Audit Candidate 12]]-Audit[[#This Row],[Candidate 12]], "")</f>
        <v/>
      </c>
      <c r="AQ330" s="114">
        <f>SUMIF(Audit[[#This Row],[Difference Winner]:[Difference Candidate 12]], "&gt;0")</f>
        <v>0</v>
      </c>
      <c r="AR330" s="114">
        <f>SUM(Audit[[#This Row],[Difference Winner]:[Difference Candidate 12]])</f>
        <v>0</v>
      </c>
      <c r="AS330" s="114">
        <f>IF(Audit[[#This Row],[Times p Drawn - With Replacement]]&gt;0, IF(Audit[[#This Row],[Canceled Differences]]&lt;0, Audit[[#This Row],[Max Differences]]+ABS(Audit[[#This Row],[Canceled Differences]]), Audit[[#This Row],[Max Differences]]), 0)</f>
        <v>0</v>
      </c>
      <c r="AT330" s="114">
        <f>'Sampling Data'!AB330</f>
        <v>3.2867707477403453E-2</v>
      </c>
      <c r="AU330" s="114">
        <f>IF(
      SUM(Audit[[#This Row],[Audit Losing Candidate]:[Audit Candidate 12]])
      &lt;&gt;0,
      (Audit[[#This Row],[Winning Candidate]]-Audit[[#This Row],[Losing Candidate]]-(Audit[[#This Row],[Audit Winning Candidate]]-Audit[[#This Row],[Audit Losing Candidate]]))/(Audit[[#Totals],[Winning Candidate]]-Audit[[#Totals],[Losing Candidate]]),
      0
)</f>
        <v>0</v>
      </c>
      <c r="AV3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0" s="114">
        <f>IF(Audit[[#This Row],[Max Relative Error (ep)]] = 0, 0, Audit[[#This Row],[Max Relative Error (ep)]]/Audit[[#This Row],[Error Bound (up) - Max. possible relative overstatement]])</f>
        <v>0</v>
      </c>
      <c r="BH3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0" s="114">
        <f t="shared" si="5"/>
        <v>1</v>
      </c>
      <c r="BJ330" s="114">
        <f>PRODUCT($BI$5:BI330)</f>
        <v>7.4038944863463699E-2</v>
      </c>
      <c r="BK330" s="112">
        <f>1 - Audit[[#This Row],[K-M P Value]]</f>
        <v>0.92596105513653626</v>
      </c>
      <c r="BL330" s="114" t="str">
        <f>IF(Audit[[#This Row],[K-M P Value]]&gt;1-'General Info'!$B$12,"Continue", "Stop")</f>
        <v>Stop</v>
      </c>
      <c r="BM330" s="113" t="b">
        <f>IF(Audit[[#This Row],[Status - Continue or stop audit]] = "Continue", TRUE, IF(BL329 = "Continue", TRUE, FALSE))</f>
        <v>0</v>
      </c>
      <c r="BN330" s="113"/>
    </row>
    <row r="331" spans="1:66" ht="15" hidden="1" customHeight="1" x14ac:dyDescent="0.35">
      <c r="A331" s="114" t="str">
        <f>'Sampling Data'!AI331</f>
        <v/>
      </c>
      <c r="B331" s="114" t="str">
        <f>'Sampling Data'!A331</f>
        <v>2305 CIN 23-E   (ED)</v>
      </c>
      <c r="C331" s="114">
        <f>'Sampling Data'!B331</f>
        <v>82</v>
      </c>
      <c r="D331" s="114">
        <f>'Sampling Data'!C331</f>
        <v>2</v>
      </c>
      <c r="E331" s="115">
        <f>'Sampling Data'!D331</f>
        <v>3</v>
      </c>
      <c r="F331" s="115">
        <f>'Sampling Data'!E331</f>
        <v>0</v>
      </c>
      <c r="G331" s="115">
        <f>'Sampling Data'!F331</f>
        <v>0</v>
      </c>
      <c r="H331" s="115">
        <f>'Sampling Data'!G331</f>
        <v>0</v>
      </c>
      <c r="I331" s="115">
        <f>'Sampling Data'!H331</f>
        <v>0</v>
      </c>
      <c r="J331" s="115">
        <f>'Sampling Data'!I331</f>
        <v>0</v>
      </c>
      <c r="K331" s="115">
        <f>'Sampling Data'!J331</f>
        <v>0</v>
      </c>
      <c r="L331" s="115">
        <f>'Sampling Data'!K331</f>
        <v>0</v>
      </c>
      <c r="M331" s="115">
        <f>'Sampling Data'!L331</f>
        <v>0</v>
      </c>
      <c r="N331" s="115">
        <f>'Sampling Data'!M331</f>
        <v>0</v>
      </c>
      <c r="O331" s="114">
        <f>'Sampling Data'!N331</f>
        <v>0</v>
      </c>
      <c r="P331" s="114">
        <f>'Sampling Data'!O331</f>
        <v>1</v>
      </c>
      <c r="Q331" s="114">
        <f>'Sampling Data'!P331</f>
        <v>88</v>
      </c>
      <c r="R331" s="114">
        <f>'Sampling Data'!AJ331</f>
        <v>0</v>
      </c>
      <c r="S331" s="116"/>
      <c r="T331" s="116"/>
      <c r="U331" s="117"/>
      <c r="V331" s="117"/>
      <c r="W331" s="116"/>
      <c r="X331" s="116"/>
      <c r="Y331" s="116"/>
      <c r="Z331" s="116"/>
      <c r="AA331" s="15"/>
      <c r="AB331" s="15"/>
      <c r="AC331" s="15"/>
      <c r="AD331" s="15"/>
      <c r="AE331" s="118" t="str">
        <f>IF(NOT(ISBLANK(Audit[[#This Row],[Audit Winning Candidate]])), Audit[[#This Row],[Audit Winning Candidate]]-Audit[[#This Row],[Winning Candidate]], "")</f>
        <v/>
      </c>
      <c r="AF331" s="114" t="str">
        <f>IF(NOT(ISBLANK(Audit[[#This Row],[Audit Losing Candidate]])), Audit[[#This Row],[Audit Losing Candidate]]-Audit[[#This Row],[Losing Candidate]], "")</f>
        <v/>
      </c>
      <c r="AG331" s="114" t="str">
        <f>IF(NOT(ISBLANK(Audit[[#This Row],[Audit Candidate 3]])), Audit[[#This Row],[Audit Candidate 3]]-Audit[[#This Row],[Candidate 3]], "")</f>
        <v/>
      </c>
      <c r="AH331" s="114" t="str">
        <f>IF(NOT(ISBLANK(Audit[[#This Row],[Audit Candidate 4]])),Audit[[#This Row],[Audit Candidate 4]]-Audit[[#This Row],[Candidate 4]], "")</f>
        <v/>
      </c>
      <c r="AI331" s="114" t="str">
        <f>IF(NOT(ISBLANK(Audit[[#This Row],[Audit Candidate 5]])), Audit[[#This Row],[Audit Candidate 5]]-Audit[[#This Row],[Candidate 5]], "")</f>
        <v/>
      </c>
      <c r="AJ331" s="114" t="str">
        <f>IF(NOT(ISBLANK(Audit[[#This Row],[Audit Candidate 6]])), Audit[[#This Row],[Audit Candidate 6]]-Audit[[#This Row],[Candidate 6]], "")</f>
        <v/>
      </c>
      <c r="AK331" s="114" t="str">
        <f>IF(NOT(ISBLANK(Audit[[#This Row],[Audit Candidate 7]])), Audit[[#This Row],[Audit Candidate 7]]-Audit[[#This Row],[Candidate 7]], "")</f>
        <v/>
      </c>
      <c r="AL331" s="114" t="str">
        <f>IF(NOT(ISBLANK(Audit[[#This Row],[Audit Candidate 8]])), Audit[[#This Row],[Audit Candidate 8]]-Audit[[#This Row],[Candidate 8]], "")</f>
        <v/>
      </c>
      <c r="AM331" s="114" t="str">
        <f>IF(NOT(ISBLANK(Audit[[#This Row],[Audit Candidate 9]])), Audit[[#This Row],[Audit Candidate 9]]-Audit[[#This Row],[Candidate 9]], "")</f>
        <v/>
      </c>
      <c r="AN331" s="114" t="str">
        <f>IF(NOT(ISBLANK(Audit[[#This Row],[Audit Candidate 10]])), Audit[[#This Row],[Audit Candidate 10]]-Audit[[#This Row],[Candidate 10]], "")</f>
        <v/>
      </c>
      <c r="AO331" s="114" t="str">
        <f>IF(NOT(ISBLANK(Audit[[#This Row],[Audit Candidate 11]])), Audit[[#This Row],[Audit Candidate 11]]-Audit[[#This Row],[Candidate 11]], "")</f>
        <v/>
      </c>
      <c r="AP331" s="114" t="str">
        <f>IF(NOT(ISBLANK(Audit[[#This Row],[Audit Candidate 12]])), Audit[[#This Row],[Audit Candidate 12]]-Audit[[#This Row],[Candidate 12]], "")</f>
        <v/>
      </c>
      <c r="AQ331" s="114">
        <f>SUMIF(Audit[[#This Row],[Difference Winner]:[Difference Candidate 12]], "&gt;0")</f>
        <v>0</v>
      </c>
      <c r="AR331" s="114">
        <f>SUM(Audit[[#This Row],[Difference Winner]:[Difference Candidate 12]])</f>
        <v>0</v>
      </c>
      <c r="AS331" s="114">
        <f>IF(Audit[[#This Row],[Times p Drawn - With Replacement]]&gt;0, IF(Audit[[#This Row],[Canceled Differences]]&lt;0, Audit[[#This Row],[Max Differences]]+ABS(Audit[[#This Row],[Canceled Differences]]), Audit[[#This Row],[Max Differences]]), 0)</f>
        <v>0</v>
      </c>
      <c r="AT331" s="114">
        <f>'Sampling Data'!AB331</f>
        <v>1.0618797800391884E-2</v>
      </c>
      <c r="AU331" s="114">
        <f>IF(
      SUM(Audit[[#This Row],[Audit Losing Candidate]:[Audit Candidate 12]])
      &lt;&gt;0,
      (Audit[[#This Row],[Winning Candidate]]-Audit[[#This Row],[Losing Candidate]]-(Audit[[#This Row],[Audit Winning Candidate]]-Audit[[#This Row],[Audit Losing Candidate]]))/(Audit[[#Totals],[Winning Candidate]]-Audit[[#Totals],[Losing Candidate]]),
      0
)</f>
        <v>0</v>
      </c>
      <c r="AV3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1" s="114">
        <f>IF(Audit[[#This Row],[Max Relative Error (ep)]] = 0, 0, Audit[[#This Row],[Max Relative Error (ep)]]/Audit[[#This Row],[Error Bound (up) - Max. possible relative overstatement]])</f>
        <v>0</v>
      </c>
      <c r="BH3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1" s="114">
        <f t="shared" si="5"/>
        <v>1</v>
      </c>
      <c r="BJ331" s="114">
        <f>PRODUCT($BI$5:BI331)</f>
        <v>7.4038944863463699E-2</v>
      </c>
      <c r="BK331" s="112">
        <f>1 - Audit[[#This Row],[K-M P Value]]</f>
        <v>0.92596105513653626</v>
      </c>
      <c r="BL331" s="114" t="str">
        <f>IF(Audit[[#This Row],[K-M P Value]]&gt;1-'General Info'!$B$12,"Continue", "Stop")</f>
        <v>Stop</v>
      </c>
      <c r="BM331" s="113" t="b">
        <f>IF(Audit[[#This Row],[Status - Continue or stop audit]] = "Continue", TRUE, IF(BL330 = "Continue", TRUE, FALSE))</f>
        <v>0</v>
      </c>
      <c r="BN331" s="113"/>
    </row>
    <row r="332" spans="1:66" ht="15" hidden="1" customHeight="1" x14ac:dyDescent="0.35">
      <c r="A332" s="114" t="str">
        <f>'Sampling Data'!AI332</f>
        <v/>
      </c>
      <c r="B332" s="114" t="str">
        <f>'Sampling Data'!A332</f>
        <v>2306 CIN 23-F   (ED)</v>
      </c>
      <c r="C332" s="114">
        <f>'Sampling Data'!B332</f>
        <v>128</v>
      </c>
      <c r="D332" s="114">
        <f>'Sampling Data'!C332</f>
        <v>8</v>
      </c>
      <c r="E332" s="115">
        <f>'Sampling Data'!D332</f>
        <v>6</v>
      </c>
      <c r="F332" s="115">
        <f>'Sampling Data'!E332</f>
        <v>0</v>
      </c>
      <c r="G332" s="115">
        <f>'Sampling Data'!F332</f>
        <v>0</v>
      </c>
      <c r="H332" s="115">
        <f>'Sampling Data'!G332</f>
        <v>0</v>
      </c>
      <c r="I332" s="115">
        <f>'Sampling Data'!H332</f>
        <v>0</v>
      </c>
      <c r="J332" s="115">
        <f>'Sampling Data'!I332</f>
        <v>0</v>
      </c>
      <c r="K332" s="115">
        <f>'Sampling Data'!J332</f>
        <v>0</v>
      </c>
      <c r="L332" s="115">
        <f>'Sampling Data'!K332</f>
        <v>0</v>
      </c>
      <c r="M332" s="115">
        <f>'Sampling Data'!L332</f>
        <v>0</v>
      </c>
      <c r="N332" s="115">
        <f>'Sampling Data'!M332</f>
        <v>0</v>
      </c>
      <c r="O332" s="114">
        <f>'Sampling Data'!N332</f>
        <v>0</v>
      </c>
      <c r="P332" s="114">
        <f>'Sampling Data'!O332</f>
        <v>2</v>
      </c>
      <c r="Q332" s="114">
        <f>'Sampling Data'!P332</f>
        <v>144</v>
      </c>
      <c r="R332" s="114">
        <f>'Sampling Data'!AJ332</f>
        <v>0</v>
      </c>
      <c r="S332" s="116"/>
      <c r="T332" s="116"/>
      <c r="U332" s="117"/>
      <c r="V332" s="117"/>
      <c r="W332" s="116"/>
      <c r="X332" s="116"/>
      <c r="Y332" s="116"/>
      <c r="Z332" s="116"/>
      <c r="AA332" s="15"/>
      <c r="AB332" s="15"/>
      <c r="AC332" s="15"/>
      <c r="AD332" s="15"/>
      <c r="AE332" s="118" t="str">
        <f>IF(NOT(ISBLANK(Audit[[#This Row],[Audit Winning Candidate]])), Audit[[#This Row],[Audit Winning Candidate]]-Audit[[#This Row],[Winning Candidate]], "")</f>
        <v/>
      </c>
      <c r="AF332" s="114" t="str">
        <f>IF(NOT(ISBLANK(Audit[[#This Row],[Audit Losing Candidate]])), Audit[[#This Row],[Audit Losing Candidate]]-Audit[[#This Row],[Losing Candidate]], "")</f>
        <v/>
      </c>
      <c r="AG332" s="114" t="str">
        <f>IF(NOT(ISBLANK(Audit[[#This Row],[Audit Candidate 3]])), Audit[[#This Row],[Audit Candidate 3]]-Audit[[#This Row],[Candidate 3]], "")</f>
        <v/>
      </c>
      <c r="AH332" s="114" t="str">
        <f>IF(NOT(ISBLANK(Audit[[#This Row],[Audit Candidate 4]])),Audit[[#This Row],[Audit Candidate 4]]-Audit[[#This Row],[Candidate 4]], "")</f>
        <v/>
      </c>
      <c r="AI332" s="114" t="str">
        <f>IF(NOT(ISBLANK(Audit[[#This Row],[Audit Candidate 5]])), Audit[[#This Row],[Audit Candidate 5]]-Audit[[#This Row],[Candidate 5]], "")</f>
        <v/>
      </c>
      <c r="AJ332" s="114" t="str">
        <f>IF(NOT(ISBLANK(Audit[[#This Row],[Audit Candidate 6]])), Audit[[#This Row],[Audit Candidate 6]]-Audit[[#This Row],[Candidate 6]], "")</f>
        <v/>
      </c>
      <c r="AK332" s="114" t="str">
        <f>IF(NOT(ISBLANK(Audit[[#This Row],[Audit Candidate 7]])), Audit[[#This Row],[Audit Candidate 7]]-Audit[[#This Row],[Candidate 7]], "")</f>
        <v/>
      </c>
      <c r="AL332" s="114" t="str">
        <f>IF(NOT(ISBLANK(Audit[[#This Row],[Audit Candidate 8]])), Audit[[#This Row],[Audit Candidate 8]]-Audit[[#This Row],[Candidate 8]], "")</f>
        <v/>
      </c>
      <c r="AM332" s="114" t="str">
        <f>IF(NOT(ISBLANK(Audit[[#This Row],[Audit Candidate 9]])), Audit[[#This Row],[Audit Candidate 9]]-Audit[[#This Row],[Candidate 9]], "")</f>
        <v/>
      </c>
      <c r="AN332" s="114" t="str">
        <f>IF(NOT(ISBLANK(Audit[[#This Row],[Audit Candidate 10]])), Audit[[#This Row],[Audit Candidate 10]]-Audit[[#This Row],[Candidate 10]], "")</f>
        <v/>
      </c>
      <c r="AO332" s="114" t="str">
        <f>IF(NOT(ISBLANK(Audit[[#This Row],[Audit Candidate 11]])), Audit[[#This Row],[Audit Candidate 11]]-Audit[[#This Row],[Candidate 11]], "")</f>
        <v/>
      </c>
      <c r="AP332" s="114" t="str">
        <f>IF(NOT(ISBLANK(Audit[[#This Row],[Audit Candidate 12]])), Audit[[#This Row],[Audit Candidate 12]]-Audit[[#This Row],[Candidate 12]], "")</f>
        <v/>
      </c>
      <c r="AQ332" s="114">
        <f>SUMIF(Audit[[#This Row],[Difference Winner]:[Difference Candidate 12]], "&gt;0")</f>
        <v>0</v>
      </c>
      <c r="AR332" s="114">
        <f>SUM(Audit[[#This Row],[Difference Winner]:[Difference Candidate 12]])</f>
        <v>0</v>
      </c>
      <c r="AS332" s="114">
        <f>IF(Audit[[#This Row],[Times p Drawn - With Replacement]]&gt;0, IF(Audit[[#This Row],[Canceled Differences]]&lt;0, Audit[[#This Row],[Max Differences]]+ABS(Audit[[#This Row],[Canceled Differences]]), Audit[[#This Row],[Max Differences]]), 0)</f>
        <v>0</v>
      </c>
      <c r="AT332" s="114">
        <f>'Sampling Data'!AB332</f>
        <v>1.6686682257758677E-2</v>
      </c>
      <c r="AU332" s="114">
        <f>IF(
      SUM(Audit[[#This Row],[Audit Losing Candidate]:[Audit Candidate 12]])
      &lt;&gt;0,
      (Audit[[#This Row],[Winning Candidate]]-Audit[[#This Row],[Losing Candidate]]-(Audit[[#This Row],[Audit Winning Candidate]]-Audit[[#This Row],[Audit Losing Candidate]]))/(Audit[[#Totals],[Winning Candidate]]-Audit[[#Totals],[Losing Candidate]]),
      0
)</f>
        <v>0</v>
      </c>
      <c r="AV3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2" s="114">
        <f>IF(Audit[[#This Row],[Max Relative Error (ep)]] = 0, 0, Audit[[#This Row],[Max Relative Error (ep)]]/Audit[[#This Row],[Error Bound (up) - Max. possible relative overstatement]])</f>
        <v>0</v>
      </c>
      <c r="BH3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2" s="114">
        <f t="shared" si="5"/>
        <v>1</v>
      </c>
      <c r="BJ332" s="114">
        <f>PRODUCT($BI$5:BI332)</f>
        <v>7.4038944863463699E-2</v>
      </c>
      <c r="BK332" s="112">
        <f>1 - Audit[[#This Row],[K-M P Value]]</f>
        <v>0.92596105513653626</v>
      </c>
      <c r="BL332" s="114" t="str">
        <f>IF(Audit[[#This Row],[K-M P Value]]&gt;1-'General Info'!$B$12,"Continue", "Stop")</f>
        <v>Stop</v>
      </c>
      <c r="BM332" s="113" t="b">
        <f>IF(Audit[[#This Row],[Status - Continue or stop audit]] = "Continue", TRUE, IF(BL331 = "Continue", TRUE, FALSE))</f>
        <v>0</v>
      </c>
      <c r="BN332" s="113"/>
    </row>
    <row r="333" spans="1:66" ht="15" hidden="1" customHeight="1" x14ac:dyDescent="0.35">
      <c r="A333" s="114" t="str">
        <f>'Sampling Data'!AI333</f>
        <v/>
      </c>
      <c r="B333" s="114" t="str">
        <f>'Sampling Data'!A333</f>
        <v>2307 CIN 23-G   (ED)</v>
      </c>
      <c r="C333" s="114">
        <f>'Sampling Data'!B333</f>
        <v>60</v>
      </c>
      <c r="D333" s="114">
        <f>'Sampling Data'!C333</f>
        <v>1</v>
      </c>
      <c r="E333" s="115">
        <f>'Sampling Data'!D333</f>
        <v>0</v>
      </c>
      <c r="F333" s="115">
        <f>'Sampling Data'!E333</f>
        <v>0</v>
      </c>
      <c r="G333" s="115">
        <f>'Sampling Data'!F333</f>
        <v>0</v>
      </c>
      <c r="H333" s="115">
        <f>'Sampling Data'!G333</f>
        <v>0</v>
      </c>
      <c r="I333" s="115">
        <f>'Sampling Data'!H333</f>
        <v>0</v>
      </c>
      <c r="J333" s="115">
        <f>'Sampling Data'!I333</f>
        <v>0</v>
      </c>
      <c r="K333" s="115">
        <f>'Sampling Data'!J333</f>
        <v>0</v>
      </c>
      <c r="L333" s="115">
        <f>'Sampling Data'!K333</f>
        <v>0</v>
      </c>
      <c r="M333" s="115">
        <f>'Sampling Data'!L333</f>
        <v>0</v>
      </c>
      <c r="N333" s="115">
        <f>'Sampling Data'!M333</f>
        <v>0</v>
      </c>
      <c r="O333" s="114">
        <f>'Sampling Data'!N333</f>
        <v>0</v>
      </c>
      <c r="P333" s="114">
        <f>'Sampling Data'!O333</f>
        <v>0</v>
      </c>
      <c r="Q333" s="114">
        <f>'Sampling Data'!P333</f>
        <v>61</v>
      </c>
      <c r="R333" s="114">
        <f>'Sampling Data'!AJ333</f>
        <v>0</v>
      </c>
      <c r="S333" s="116"/>
      <c r="T333" s="116"/>
      <c r="U333" s="117"/>
      <c r="V333" s="117"/>
      <c r="W333" s="116"/>
      <c r="X333" s="116"/>
      <c r="Y333" s="116"/>
      <c r="Z333" s="116"/>
      <c r="AA333" s="15"/>
      <c r="AB333" s="15"/>
      <c r="AC333" s="15"/>
      <c r="AD333" s="15"/>
      <c r="AE333" s="118" t="str">
        <f>IF(NOT(ISBLANK(Audit[[#This Row],[Audit Winning Candidate]])), Audit[[#This Row],[Audit Winning Candidate]]-Audit[[#This Row],[Winning Candidate]], "")</f>
        <v/>
      </c>
      <c r="AF333" s="114" t="str">
        <f>IF(NOT(ISBLANK(Audit[[#This Row],[Audit Losing Candidate]])), Audit[[#This Row],[Audit Losing Candidate]]-Audit[[#This Row],[Losing Candidate]], "")</f>
        <v/>
      </c>
      <c r="AG333" s="114" t="str">
        <f>IF(NOT(ISBLANK(Audit[[#This Row],[Audit Candidate 3]])), Audit[[#This Row],[Audit Candidate 3]]-Audit[[#This Row],[Candidate 3]], "")</f>
        <v/>
      </c>
      <c r="AH333" s="114" t="str">
        <f>IF(NOT(ISBLANK(Audit[[#This Row],[Audit Candidate 4]])),Audit[[#This Row],[Audit Candidate 4]]-Audit[[#This Row],[Candidate 4]], "")</f>
        <v/>
      </c>
      <c r="AI333" s="114" t="str">
        <f>IF(NOT(ISBLANK(Audit[[#This Row],[Audit Candidate 5]])), Audit[[#This Row],[Audit Candidate 5]]-Audit[[#This Row],[Candidate 5]], "")</f>
        <v/>
      </c>
      <c r="AJ333" s="114" t="str">
        <f>IF(NOT(ISBLANK(Audit[[#This Row],[Audit Candidate 6]])), Audit[[#This Row],[Audit Candidate 6]]-Audit[[#This Row],[Candidate 6]], "")</f>
        <v/>
      </c>
      <c r="AK333" s="114" t="str">
        <f>IF(NOT(ISBLANK(Audit[[#This Row],[Audit Candidate 7]])), Audit[[#This Row],[Audit Candidate 7]]-Audit[[#This Row],[Candidate 7]], "")</f>
        <v/>
      </c>
      <c r="AL333" s="114" t="str">
        <f>IF(NOT(ISBLANK(Audit[[#This Row],[Audit Candidate 8]])), Audit[[#This Row],[Audit Candidate 8]]-Audit[[#This Row],[Candidate 8]], "")</f>
        <v/>
      </c>
      <c r="AM333" s="114" t="str">
        <f>IF(NOT(ISBLANK(Audit[[#This Row],[Audit Candidate 9]])), Audit[[#This Row],[Audit Candidate 9]]-Audit[[#This Row],[Candidate 9]], "")</f>
        <v/>
      </c>
      <c r="AN333" s="114" t="str">
        <f>IF(NOT(ISBLANK(Audit[[#This Row],[Audit Candidate 10]])), Audit[[#This Row],[Audit Candidate 10]]-Audit[[#This Row],[Candidate 10]], "")</f>
        <v/>
      </c>
      <c r="AO333" s="114" t="str">
        <f>IF(NOT(ISBLANK(Audit[[#This Row],[Audit Candidate 11]])), Audit[[#This Row],[Audit Candidate 11]]-Audit[[#This Row],[Candidate 11]], "")</f>
        <v/>
      </c>
      <c r="AP333" s="114" t="str">
        <f>IF(NOT(ISBLANK(Audit[[#This Row],[Audit Candidate 12]])), Audit[[#This Row],[Audit Candidate 12]]-Audit[[#This Row],[Candidate 12]], "")</f>
        <v/>
      </c>
      <c r="AQ333" s="114">
        <f>SUMIF(Audit[[#This Row],[Difference Winner]:[Difference Candidate 12]], "&gt;0")</f>
        <v>0</v>
      </c>
      <c r="AR333" s="114">
        <f>SUM(Audit[[#This Row],[Difference Winner]:[Difference Candidate 12]])</f>
        <v>0</v>
      </c>
      <c r="AS333" s="114">
        <f>IF(Audit[[#This Row],[Times p Drawn - With Replacement]]&gt;0, IF(Audit[[#This Row],[Canceled Differences]]&lt;0, Audit[[#This Row],[Max Differences]]+ABS(Audit[[#This Row],[Canceled Differences]]), Audit[[#This Row],[Max Differences]]), 0)</f>
        <v>0</v>
      </c>
      <c r="AT333" s="114">
        <f>'Sampling Data'!AB333</f>
        <v>7.5848555717084884E-3</v>
      </c>
      <c r="AU333" s="114">
        <f>IF(
      SUM(Audit[[#This Row],[Audit Losing Candidate]:[Audit Candidate 12]])
      &lt;&gt;0,
      (Audit[[#This Row],[Winning Candidate]]-Audit[[#This Row],[Losing Candidate]]-(Audit[[#This Row],[Audit Winning Candidate]]-Audit[[#This Row],[Audit Losing Candidate]]))/(Audit[[#Totals],[Winning Candidate]]-Audit[[#Totals],[Losing Candidate]]),
      0
)</f>
        <v>0</v>
      </c>
      <c r="AV3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3" s="114">
        <f>IF(Audit[[#This Row],[Max Relative Error (ep)]] = 0, 0, Audit[[#This Row],[Max Relative Error (ep)]]/Audit[[#This Row],[Error Bound (up) - Max. possible relative overstatement]])</f>
        <v>0</v>
      </c>
      <c r="BH3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3" s="114">
        <f t="shared" si="5"/>
        <v>1</v>
      </c>
      <c r="BJ333" s="114">
        <f>PRODUCT($BI$5:BI333)</f>
        <v>7.4038944863463699E-2</v>
      </c>
      <c r="BK333" s="112">
        <f>1 - Audit[[#This Row],[K-M P Value]]</f>
        <v>0.92596105513653626</v>
      </c>
      <c r="BL333" s="114" t="str">
        <f>IF(Audit[[#This Row],[K-M P Value]]&gt;1-'General Info'!$B$12,"Continue", "Stop")</f>
        <v>Stop</v>
      </c>
      <c r="BM333" s="113" t="b">
        <f>IF(Audit[[#This Row],[Status - Continue or stop audit]] = "Continue", TRUE, IF(BL332 = "Continue", TRUE, FALSE))</f>
        <v>0</v>
      </c>
      <c r="BN333" s="113"/>
    </row>
    <row r="334" spans="1:66" ht="15" hidden="1" customHeight="1" x14ac:dyDescent="0.35">
      <c r="A334" s="114" t="str">
        <f>'Sampling Data'!AI334</f>
        <v/>
      </c>
      <c r="B334" s="114" t="str">
        <f>'Sampling Data'!A334</f>
        <v>2308 CIN 23-H   (ED)</v>
      </c>
      <c r="C334" s="114">
        <f>'Sampling Data'!B334</f>
        <v>156</v>
      </c>
      <c r="D334" s="114">
        <f>'Sampling Data'!C334</f>
        <v>24</v>
      </c>
      <c r="E334" s="115">
        <f>'Sampling Data'!D334</f>
        <v>7</v>
      </c>
      <c r="F334" s="115">
        <f>'Sampling Data'!E334</f>
        <v>0</v>
      </c>
      <c r="G334" s="115">
        <f>'Sampling Data'!F334</f>
        <v>0</v>
      </c>
      <c r="H334" s="115">
        <f>'Sampling Data'!G334</f>
        <v>0</v>
      </c>
      <c r="I334" s="115">
        <f>'Sampling Data'!H334</f>
        <v>0</v>
      </c>
      <c r="J334" s="115">
        <f>'Sampling Data'!I334</f>
        <v>0</v>
      </c>
      <c r="K334" s="115">
        <f>'Sampling Data'!J334</f>
        <v>0</v>
      </c>
      <c r="L334" s="115">
        <f>'Sampling Data'!K334</f>
        <v>0</v>
      </c>
      <c r="M334" s="115">
        <f>'Sampling Data'!L334</f>
        <v>0</v>
      </c>
      <c r="N334" s="115">
        <f>'Sampling Data'!M334</f>
        <v>0</v>
      </c>
      <c r="O334" s="114">
        <f>'Sampling Data'!N334</f>
        <v>0</v>
      </c>
      <c r="P334" s="114">
        <f>'Sampling Data'!O334</f>
        <v>2</v>
      </c>
      <c r="Q334" s="114">
        <f>'Sampling Data'!P334</f>
        <v>189</v>
      </c>
      <c r="R334" s="114">
        <f>'Sampling Data'!AJ334</f>
        <v>0</v>
      </c>
      <c r="S334" s="116"/>
      <c r="T334" s="116"/>
      <c r="U334" s="117"/>
      <c r="V334" s="117"/>
      <c r="W334" s="116"/>
      <c r="X334" s="116"/>
      <c r="Y334" s="116"/>
      <c r="Z334" s="116"/>
      <c r="AA334" s="15"/>
      <c r="AB334" s="15"/>
      <c r="AC334" s="15"/>
      <c r="AD334" s="15"/>
      <c r="AE334" s="118" t="str">
        <f>IF(NOT(ISBLANK(Audit[[#This Row],[Audit Winning Candidate]])), Audit[[#This Row],[Audit Winning Candidate]]-Audit[[#This Row],[Winning Candidate]], "")</f>
        <v/>
      </c>
      <c r="AF334" s="114" t="str">
        <f>IF(NOT(ISBLANK(Audit[[#This Row],[Audit Losing Candidate]])), Audit[[#This Row],[Audit Losing Candidate]]-Audit[[#This Row],[Losing Candidate]], "")</f>
        <v/>
      </c>
      <c r="AG334" s="114" t="str">
        <f>IF(NOT(ISBLANK(Audit[[#This Row],[Audit Candidate 3]])), Audit[[#This Row],[Audit Candidate 3]]-Audit[[#This Row],[Candidate 3]], "")</f>
        <v/>
      </c>
      <c r="AH334" s="114" t="str">
        <f>IF(NOT(ISBLANK(Audit[[#This Row],[Audit Candidate 4]])),Audit[[#This Row],[Audit Candidate 4]]-Audit[[#This Row],[Candidate 4]], "")</f>
        <v/>
      </c>
      <c r="AI334" s="114" t="str">
        <f>IF(NOT(ISBLANK(Audit[[#This Row],[Audit Candidate 5]])), Audit[[#This Row],[Audit Candidate 5]]-Audit[[#This Row],[Candidate 5]], "")</f>
        <v/>
      </c>
      <c r="AJ334" s="114" t="str">
        <f>IF(NOT(ISBLANK(Audit[[#This Row],[Audit Candidate 6]])), Audit[[#This Row],[Audit Candidate 6]]-Audit[[#This Row],[Candidate 6]], "")</f>
        <v/>
      </c>
      <c r="AK334" s="114" t="str">
        <f>IF(NOT(ISBLANK(Audit[[#This Row],[Audit Candidate 7]])), Audit[[#This Row],[Audit Candidate 7]]-Audit[[#This Row],[Candidate 7]], "")</f>
        <v/>
      </c>
      <c r="AL334" s="114" t="str">
        <f>IF(NOT(ISBLANK(Audit[[#This Row],[Audit Candidate 8]])), Audit[[#This Row],[Audit Candidate 8]]-Audit[[#This Row],[Candidate 8]], "")</f>
        <v/>
      </c>
      <c r="AM334" s="114" t="str">
        <f>IF(NOT(ISBLANK(Audit[[#This Row],[Audit Candidate 9]])), Audit[[#This Row],[Audit Candidate 9]]-Audit[[#This Row],[Candidate 9]], "")</f>
        <v/>
      </c>
      <c r="AN334" s="114" t="str">
        <f>IF(NOT(ISBLANK(Audit[[#This Row],[Audit Candidate 10]])), Audit[[#This Row],[Audit Candidate 10]]-Audit[[#This Row],[Candidate 10]], "")</f>
        <v/>
      </c>
      <c r="AO334" s="114" t="str">
        <f>IF(NOT(ISBLANK(Audit[[#This Row],[Audit Candidate 11]])), Audit[[#This Row],[Audit Candidate 11]]-Audit[[#This Row],[Candidate 11]], "")</f>
        <v/>
      </c>
      <c r="AP334" s="114" t="str">
        <f>IF(NOT(ISBLANK(Audit[[#This Row],[Audit Candidate 12]])), Audit[[#This Row],[Audit Candidate 12]]-Audit[[#This Row],[Candidate 12]], "")</f>
        <v/>
      </c>
      <c r="AQ334" s="114">
        <f>SUMIF(Audit[[#This Row],[Difference Winner]:[Difference Candidate 12]], "&gt;0")</f>
        <v>0</v>
      </c>
      <c r="AR334" s="114">
        <f>SUM(Audit[[#This Row],[Difference Winner]:[Difference Candidate 12]])</f>
        <v>0</v>
      </c>
      <c r="AS334" s="114">
        <f>IF(Audit[[#This Row],[Times p Drawn - With Replacement]]&gt;0, IF(Audit[[#This Row],[Canceled Differences]]&lt;0, Audit[[#This Row],[Max Differences]]+ABS(Audit[[#This Row],[Canceled Differences]]), Audit[[#This Row],[Max Differences]]), 0)</f>
        <v>0</v>
      </c>
      <c r="AT334" s="114">
        <f>'Sampling Data'!AB334</f>
        <v>2.0289488654320207E-2</v>
      </c>
      <c r="AU334" s="114">
        <f>IF(
      SUM(Audit[[#This Row],[Audit Losing Candidate]:[Audit Candidate 12]])
      &lt;&gt;0,
      (Audit[[#This Row],[Winning Candidate]]-Audit[[#This Row],[Losing Candidate]]-(Audit[[#This Row],[Audit Winning Candidate]]-Audit[[#This Row],[Audit Losing Candidate]]))/(Audit[[#Totals],[Winning Candidate]]-Audit[[#Totals],[Losing Candidate]]),
      0
)</f>
        <v>0</v>
      </c>
      <c r="AV3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4" s="114">
        <f>IF(Audit[[#This Row],[Max Relative Error (ep)]] = 0, 0, Audit[[#This Row],[Max Relative Error (ep)]]/Audit[[#This Row],[Error Bound (up) - Max. possible relative overstatement]])</f>
        <v>0</v>
      </c>
      <c r="BH3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4" s="114">
        <f t="shared" si="5"/>
        <v>1</v>
      </c>
      <c r="BJ334" s="114">
        <f>PRODUCT($BI$5:BI334)</f>
        <v>7.4038944863463699E-2</v>
      </c>
      <c r="BK334" s="112">
        <f>1 - Audit[[#This Row],[K-M P Value]]</f>
        <v>0.92596105513653626</v>
      </c>
      <c r="BL334" s="114" t="str">
        <f>IF(Audit[[#This Row],[K-M P Value]]&gt;1-'General Info'!$B$12,"Continue", "Stop")</f>
        <v>Stop</v>
      </c>
      <c r="BM334" s="113" t="b">
        <f>IF(Audit[[#This Row],[Status - Continue or stop audit]] = "Continue", TRUE, IF(BL333 = "Continue", TRUE, FALSE))</f>
        <v>0</v>
      </c>
      <c r="BN334" s="113"/>
    </row>
    <row r="335" spans="1:66" ht="15" hidden="1" customHeight="1" x14ac:dyDescent="0.35">
      <c r="A335" s="114" t="str">
        <f>'Sampling Data'!AI335</f>
        <v/>
      </c>
      <c r="B335" s="114" t="str">
        <f>'Sampling Data'!A335</f>
        <v>2309 CIN 23-I   (ED)</v>
      </c>
      <c r="C335" s="114">
        <f>'Sampling Data'!B335</f>
        <v>123</v>
      </c>
      <c r="D335" s="114">
        <f>'Sampling Data'!C335</f>
        <v>33</v>
      </c>
      <c r="E335" s="115">
        <f>'Sampling Data'!D335</f>
        <v>9</v>
      </c>
      <c r="F335" s="115">
        <f>'Sampling Data'!E335</f>
        <v>0</v>
      </c>
      <c r="G335" s="115">
        <f>'Sampling Data'!F335</f>
        <v>0</v>
      </c>
      <c r="H335" s="115">
        <f>'Sampling Data'!G335</f>
        <v>0</v>
      </c>
      <c r="I335" s="115">
        <f>'Sampling Data'!H335</f>
        <v>0</v>
      </c>
      <c r="J335" s="115">
        <f>'Sampling Data'!I335</f>
        <v>0</v>
      </c>
      <c r="K335" s="115">
        <f>'Sampling Data'!J335</f>
        <v>0</v>
      </c>
      <c r="L335" s="115">
        <f>'Sampling Data'!K335</f>
        <v>0</v>
      </c>
      <c r="M335" s="115">
        <f>'Sampling Data'!L335</f>
        <v>0</v>
      </c>
      <c r="N335" s="115">
        <f>'Sampling Data'!M335</f>
        <v>0</v>
      </c>
      <c r="O335" s="114">
        <f>'Sampling Data'!N335</f>
        <v>0</v>
      </c>
      <c r="P335" s="114">
        <f>'Sampling Data'!O335</f>
        <v>0</v>
      </c>
      <c r="Q335" s="114">
        <f>'Sampling Data'!P335</f>
        <v>165</v>
      </c>
      <c r="R335" s="114">
        <f>'Sampling Data'!AJ335</f>
        <v>0</v>
      </c>
      <c r="S335" s="116"/>
      <c r="T335" s="116"/>
      <c r="U335" s="117"/>
      <c r="V335" s="117"/>
      <c r="W335" s="116"/>
      <c r="X335" s="116"/>
      <c r="Y335" s="116"/>
      <c r="Z335" s="116"/>
      <c r="AA335" s="15"/>
      <c r="AB335" s="15"/>
      <c r="AC335" s="15"/>
      <c r="AD335" s="15"/>
      <c r="AE335" s="118" t="str">
        <f>IF(NOT(ISBLANK(Audit[[#This Row],[Audit Winning Candidate]])), Audit[[#This Row],[Audit Winning Candidate]]-Audit[[#This Row],[Winning Candidate]], "")</f>
        <v/>
      </c>
      <c r="AF335" s="114" t="str">
        <f>IF(NOT(ISBLANK(Audit[[#This Row],[Audit Losing Candidate]])), Audit[[#This Row],[Audit Losing Candidate]]-Audit[[#This Row],[Losing Candidate]], "")</f>
        <v/>
      </c>
      <c r="AG335" s="114" t="str">
        <f>IF(NOT(ISBLANK(Audit[[#This Row],[Audit Candidate 3]])), Audit[[#This Row],[Audit Candidate 3]]-Audit[[#This Row],[Candidate 3]], "")</f>
        <v/>
      </c>
      <c r="AH335" s="114" t="str">
        <f>IF(NOT(ISBLANK(Audit[[#This Row],[Audit Candidate 4]])),Audit[[#This Row],[Audit Candidate 4]]-Audit[[#This Row],[Candidate 4]], "")</f>
        <v/>
      </c>
      <c r="AI335" s="114" t="str">
        <f>IF(NOT(ISBLANK(Audit[[#This Row],[Audit Candidate 5]])), Audit[[#This Row],[Audit Candidate 5]]-Audit[[#This Row],[Candidate 5]], "")</f>
        <v/>
      </c>
      <c r="AJ335" s="114" t="str">
        <f>IF(NOT(ISBLANK(Audit[[#This Row],[Audit Candidate 6]])), Audit[[#This Row],[Audit Candidate 6]]-Audit[[#This Row],[Candidate 6]], "")</f>
        <v/>
      </c>
      <c r="AK335" s="114" t="str">
        <f>IF(NOT(ISBLANK(Audit[[#This Row],[Audit Candidate 7]])), Audit[[#This Row],[Audit Candidate 7]]-Audit[[#This Row],[Candidate 7]], "")</f>
        <v/>
      </c>
      <c r="AL335" s="114" t="str">
        <f>IF(NOT(ISBLANK(Audit[[#This Row],[Audit Candidate 8]])), Audit[[#This Row],[Audit Candidate 8]]-Audit[[#This Row],[Candidate 8]], "")</f>
        <v/>
      </c>
      <c r="AM335" s="114" t="str">
        <f>IF(NOT(ISBLANK(Audit[[#This Row],[Audit Candidate 9]])), Audit[[#This Row],[Audit Candidate 9]]-Audit[[#This Row],[Candidate 9]], "")</f>
        <v/>
      </c>
      <c r="AN335" s="114" t="str">
        <f>IF(NOT(ISBLANK(Audit[[#This Row],[Audit Candidate 10]])), Audit[[#This Row],[Audit Candidate 10]]-Audit[[#This Row],[Candidate 10]], "")</f>
        <v/>
      </c>
      <c r="AO335" s="114" t="str">
        <f>IF(NOT(ISBLANK(Audit[[#This Row],[Audit Candidate 11]])), Audit[[#This Row],[Audit Candidate 11]]-Audit[[#This Row],[Candidate 11]], "")</f>
        <v/>
      </c>
      <c r="AP335" s="114" t="str">
        <f>IF(NOT(ISBLANK(Audit[[#This Row],[Audit Candidate 12]])), Audit[[#This Row],[Audit Candidate 12]]-Audit[[#This Row],[Candidate 12]], "")</f>
        <v/>
      </c>
      <c r="AQ335" s="114">
        <f>SUMIF(Audit[[#This Row],[Difference Winner]:[Difference Candidate 12]], "&gt;0")</f>
        <v>0</v>
      </c>
      <c r="AR335" s="114">
        <f>SUM(Audit[[#This Row],[Difference Winner]:[Difference Candidate 12]])</f>
        <v>0</v>
      </c>
      <c r="AS335" s="114">
        <f>IF(Audit[[#This Row],[Times p Drawn - With Replacement]]&gt;0, IF(Audit[[#This Row],[Canceled Differences]]&lt;0, Audit[[#This Row],[Max Differences]]+ABS(Audit[[#This Row],[Canceled Differences]]), Audit[[#This Row],[Max Differences]]), 0)</f>
        <v>0</v>
      </c>
      <c r="AT335" s="114">
        <f>'Sampling Data'!AB335</f>
        <v>1.611781808988054E-2</v>
      </c>
      <c r="AU335" s="114">
        <f>IF(
      SUM(Audit[[#This Row],[Audit Losing Candidate]:[Audit Candidate 12]])
      &lt;&gt;0,
      (Audit[[#This Row],[Winning Candidate]]-Audit[[#This Row],[Losing Candidate]]-(Audit[[#This Row],[Audit Winning Candidate]]-Audit[[#This Row],[Audit Losing Candidate]]))/(Audit[[#Totals],[Winning Candidate]]-Audit[[#Totals],[Losing Candidate]]),
      0
)</f>
        <v>0</v>
      </c>
      <c r="AV3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5" s="114">
        <f>IF(Audit[[#This Row],[Max Relative Error (ep)]] = 0, 0, Audit[[#This Row],[Max Relative Error (ep)]]/Audit[[#This Row],[Error Bound (up) - Max. possible relative overstatement]])</f>
        <v>0</v>
      </c>
      <c r="BH3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5" s="114">
        <f t="shared" ref="BI335:BI380" si="6">IF(ISERR(POWER(BH335,R335)), 0, POWER(BH335,R335))</f>
        <v>1</v>
      </c>
      <c r="BJ335" s="114">
        <f>PRODUCT($BI$5:BI335)</f>
        <v>7.4038944863463699E-2</v>
      </c>
      <c r="BK335" s="112">
        <f>1 - Audit[[#This Row],[K-M P Value]]</f>
        <v>0.92596105513653626</v>
      </c>
      <c r="BL335" s="114" t="str">
        <f>IF(Audit[[#This Row],[K-M P Value]]&gt;1-'General Info'!$B$12,"Continue", "Stop")</f>
        <v>Stop</v>
      </c>
      <c r="BM335" s="113" t="b">
        <f>IF(Audit[[#This Row],[Status - Continue or stop audit]] = "Continue", TRUE, IF(BL334 = "Continue", TRUE, FALSE))</f>
        <v>0</v>
      </c>
      <c r="BN335" s="113"/>
    </row>
    <row r="336" spans="1:66" ht="15" hidden="1" customHeight="1" x14ac:dyDescent="0.35">
      <c r="A336" s="114" t="str">
        <f>'Sampling Data'!AI336</f>
        <v/>
      </c>
      <c r="B336" s="114" t="str">
        <f>'Sampling Data'!A336</f>
        <v>2310 CIN 23-J   (ED)</v>
      </c>
      <c r="C336" s="114">
        <f>'Sampling Data'!B336</f>
        <v>82</v>
      </c>
      <c r="D336" s="114">
        <f>'Sampling Data'!C336</f>
        <v>17</v>
      </c>
      <c r="E336" s="115">
        <f>'Sampling Data'!D336</f>
        <v>5</v>
      </c>
      <c r="F336" s="115">
        <f>'Sampling Data'!E336</f>
        <v>0</v>
      </c>
      <c r="G336" s="115">
        <f>'Sampling Data'!F336</f>
        <v>0</v>
      </c>
      <c r="H336" s="115">
        <f>'Sampling Data'!G336</f>
        <v>0</v>
      </c>
      <c r="I336" s="115">
        <f>'Sampling Data'!H336</f>
        <v>0</v>
      </c>
      <c r="J336" s="115">
        <f>'Sampling Data'!I336</f>
        <v>0</v>
      </c>
      <c r="K336" s="115">
        <f>'Sampling Data'!J336</f>
        <v>0</v>
      </c>
      <c r="L336" s="115">
        <f>'Sampling Data'!K336</f>
        <v>0</v>
      </c>
      <c r="M336" s="115">
        <f>'Sampling Data'!L336</f>
        <v>0</v>
      </c>
      <c r="N336" s="115">
        <f>'Sampling Data'!M336</f>
        <v>0</v>
      </c>
      <c r="O336" s="114">
        <f>'Sampling Data'!N336</f>
        <v>0</v>
      </c>
      <c r="P336" s="114">
        <f>'Sampling Data'!O336</f>
        <v>0</v>
      </c>
      <c r="Q336" s="114">
        <f>'Sampling Data'!P336</f>
        <v>104</v>
      </c>
      <c r="R336" s="114">
        <f>'Sampling Data'!AJ336</f>
        <v>0</v>
      </c>
      <c r="S336" s="116"/>
      <c r="T336" s="116"/>
      <c r="U336" s="117"/>
      <c r="V336" s="117"/>
      <c r="W336" s="116"/>
      <c r="X336" s="116"/>
      <c r="Y336" s="116"/>
      <c r="Z336" s="116"/>
      <c r="AA336" s="15"/>
      <c r="AB336" s="15"/>
      <c r="AC336" s="15"/>
      <c r="AD336" s="15"/>
      <c r="AE336" s="118" t="str">
        <f>IF(NOT(ISBLANK(Audit[[#This Row],[Audit Winning Candidate]])), Audit[[#This Row],[Audit Winning Candidate]]-Audit[[#This Row],[Winning Candidate]], "")</f>
        <v/>
      </c>
      <c r="AF336" s="114" t="str">
        <f>IF(NOT(ISBLANK(Audit[[#This Row],[Audit Losing Candidate]])), Audit[[#This Row],[Audit Losing Candidate]]-Audit[[#This Row],[Losing Candidate]], "")</f>
        <v/>
      </c>
      <c r="AG336" s="114" t="str">
        <f>IF(NOT(ISBLANK(Audit[[#This Row],[Audit Candidate 3]])), Audit[[#This Row],[Audit Candidate 3]]-Audit[[#This Row],[Candidate 3]], "")</f>
        <v/>
      </c>
      <c r="AH336" s="114" t="str">
        <f>IF(NOT(ISBLANK(Audit[[#This Row],[Audit Candidate 4]])),Audit[[#This Row],[Audit Candidate 4]]-Audit[[#This Row],[Candidate 4]], "")</f>
        <v/>
      </c>
      <c r="AI336" s="114" t="str">
        <f>IF(NOT(ISBLANK(Audit[[#This Row],[Audit Candidate 5]])), Audit[[#This Row],[Audit Candidate 5]]-Audit[[#This Row],[Candidate 5]], "")</f>
        <v/>
      </c>
      <c r="AJ336" s="114" t="str">
        <f>IF(NOT(ISBLANK(Audit[[#This Row],[Audit Candidate 6]])), Audit[[#This Row],[Audit Candidate 6]]-Audit[[#This Row],[Candidate 6]], "")</f>
        <v/>
      </c>
      <c r="AK336" s="114" t="str">
        <f>IF(NOT(ISBLANK(Audit[[#This Row],[Audit Candidate 7]])), Audit[[#This Row],[Audit Candidate 7]]-Audit[[#This Row],[Candidate 7]], "")</f>
        <v/>
      </c>
      <c r="AL336" s="114" t="str">
        <f>IF(NOT(ISBLANK(Audit[[#This Row],[Audit Candidate 8]])), Audit[[#This Row],[Audit Candidate 8]]-Audit[[#This Row],[Candidate 8]], "")</f>
        <v/>
      </c>
      <c r="AM336" s="114" t="str">
        <f>IF(NOT(ISBLANK(Audit[[#This Row],[Audit Candidate 9]])), Audit[[#This Row],[Audit Candidate 9]]-Audit[[#This Row],[Candidate 9]], "")</f>
        <v/>
      </c>
      <c r="AN336" s="114" t="str">
        <f>IF(NOT(ISBLANK(Audit[[#This Row],[Audit Candidate 10]])), Audit[[#This Row],[Audit Candidate 10]]-Audit[[#This Row],[Candidate 10]], "")</f>
        <v/>
      </c>
      <c r="AO336" s="114" t="str">
        <f>IF(NOT(ISBLANK(Audit[[#This Row],[Audit Candidate 11]])), Audit[[#This Row],[Audit Candidate 11]]-Audit[[#This Row],[Candidate 11]], "")</f>
        <v/>
      </c>
      <c r="AP336" s="114" t="str">
        <f>IF(NOT(ISBLANK(Audit[[#This Row],[Audit Candidate 12]])), Audit[[#This Row],[Audit Candidate 12]]-Audit[[#This Row],[Candidate 12]], "")</f>
        <v/>
      </c>
      <c r="AQ336" s="114">
        <f>SUMIF(Audit[[#This Row],[Difference Winner]:[Difference Candidate 12]], "&gt;0")</f>
        <v>0</v>
      </c>
      <c r="AR336" s="114">
        <f>SUM(Audit[[#This Row],[Difference Winner]:[Difference Candidate 12]])</f>
        <v>0</v>
      </c>
      <c r="AS336" s="114">
        <f>IF(Audit[[#This Row],[Times p Drawn - With Replacement]]&gt;0, IF(Audit[[#This Row],[Canceled Differences]]&lt;0, Audit[[#This Row],[Max Differences]]+ABS(Audit[[#This Row],[Canceled Differences]]), Audit[[#This Row],[Max Differences]]), 0)</f>
        <v>0</v>
      </c>
      <c r="AT336" s="114">
        <f>'Sampling Data'!AB336</f>
        <v>1.0682004930156122E-2</v>
      </c>
      <c r="AU336" s="114">
        <f>IF(
      SUM(Audit[[#This Row],[Audit Losing Candidate]:[Audit Candidate 12]])
      &lt;&gt;0,
      (Audit[[#This Row],[Winning Candidate]]-Audit[[#This Row],[Losing Candidate]]-(Audit[[#This Row],[Audit Winning Candidate]]-Audit[[#This Row],[Audit Losing Candidate]]))/(Audit[[#Totals],[Winning Candidate]]-Audit[[#Totals],[Losing Candidate]]),
      0
)</f>
        <v>0</v>
      </c>
      <c r="AV3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6" s="114">
        <f>IF(Audit[[#This Row],[Max Relative Error (ep)]] = 0, 0, Audit[[#This Row],[Max Relative Error (ep)]]/Audit[[#This Row],[Error Bound (up) - Max. possible relative overstatement]])</f>
        <v>0</v>
      </c>
      <c r="BH3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6" s="114">
        <f t="shared" si="6"/>
        <v>1</v>
      </c>
      <c r="BJ336" s="114">
        <f>PRODUCT($BI$5:BI336)</f>
        <v>7.4038944863463699E-2</v>
      </c>
      <c r="BK336" s="112">
        <f>1 - Audit[[#This Row],[K-M P Value]]</f>
        <v>0.92596105513653626</v>
      </c>
      <c r="BL336" s="114" t="str">
        <f>IF(Audit[[#This Row],[K-M P Value]]&gt;1-'General Info'!$B$12,"Continue", "Stop")</f>
        <v>Stop</v>
      </c>
      <c r="BM336" s="113" t="b">
        <f>IF(Audit[[#This Row],[Status - Continue or stop audit]] = "Continue", TRUE, IF(BL335 = "Continue", TRUE, FALSE))</f>
        <v>0</v>
      </c>
      <c r="BN336" s="113"/>
    </row>
    <row r="337" spans="1:66" ht="15" hidden="1" customHeight="1" x14ac:dyDescent="0.35">
      <c r="A337" s="114" t="str">
        <f>'Sampling Data'!AI337</f>
        <v/>
      </c>
      <c r="B337" s="114" t="str">
        <f>'Sampling Data'!A337</f>
        <v>2311 CIN 23-K   (ED)</v>
      </c>
      <c r="C337" s="114">
        <f>'Sampling Data'!B337</f>
        <v>161</v>
      </c>
      <c r="D337" s="114">
        <f>'Sampling Data'!C337</f>
        <v>9</v>
      </c>
      <c r="E337" s="115">
        <f>'Sampling Data'!D337</f>
        <v>3</v>
      </c>
      <c r="F337" s="115">
        <f>'Sampling Data'!E337</f>
        <v>0</v>
      </c>
      <c r="G337" s="115">
        <f>'Sampling Data'!F337</f>
        <v>0</v>
      </c>
      <c r="H337" s="115">
        <f>'Sampling Data'!G337</f>
        <v>0</v>
      </c>
      <c r="I337" s="115">
        <f>'Sampling Data'!H337</f>
        <v>0</v>
      </c>
      <c r="J337" s="115">
        <f>'Sampling Data'!I337</f>
        <v>0</v>
      </c>
      <c r="K337" s="115">
        <f>'Sampling Data'!J337</f>
        <v>0</v>
      </c>
      <c r="L337" s="115">
        <f>'Sampling Data'!K337</f>
        <v>0</v>
      </c>
      <c r="M337" s="115">
        <f>'Sampling Data'!L337</f>
        <v>0</v>
      </c>
      <c r="N337" s="115">
        <f>'Sampling Data'!M337</f>
        <v>0</v>
      </c>
      <c r="O337" s="114">
        <f>'Sampling Data'!N337</f>
        <v>0</v>
      </c>
      <c r="P337" s="114">
        <f>'Sampling Data'!O337</f>
        <v>4</v>
      </c>
      <c r="Q337" s="114">
        <f>'Sampling Data'!P337</f>
        <v>177</v>
      </c>
      <c r="R337" s="114">
        <f>'Sampling Data'!AJ337</f>
        <v>0</v>
      </c>
      <c r="S337" s="116"/>
      <c r="T337" s="116"/>
      <c r="U337" s="117"/>
      <c r="V337" s="117"/>
      <c r="W337" s="116"/>
      <c r="X337" s="116"/>
      <c r="Y337" s="116"/>
      <c r="Z337" s="116"/>
      <c r="AA337" s="15"/>
      <c r="AB337" s="15"/>
      <c r="AC337" s="15"/>
      <c r="AD337" s="15"/>
      <c r="AE337" s="118" t="str">
        <f>IF(NOT(ISBLANK(Audit[[#This Row],[Audit Winning Candidate]])), Audit[[#This Row],[Audit Winning Candidate]]-Audit[[#This Row],[Winning Candidate]], "")</f>
        <v/>
      </c>
      <c r="AF337" s="114" t="str">
        <f>IF(NOT(ISBLANK(Audit[[#This Row],[Audit Losing Candidate]])), Audit[[#This Row],[Audit Losing Candidate]]-Audit[[#This Row],[Losing Candidate]], "")</f>
        <v/>
      </c>
      <c r="AG337" s="114" t="str">
        <f>IF(NOT(ISBLANK(Audit[[#This Row],[Audit Candidate 3]])), Audit[[#This Row],[Audit Candidate 3]]-Audit[[#This Row],[Candidate 3]], "")</f>
        <v/>
      </c>
      <c r="AH337" s="114" t="str">
        <f>IF(NOT(ISBLANK(Audit[[#This Row],[Audit Candidate 4]])),Audit[[#This Row],[Audit Candidate 4]]-Audit[[#This Row],[Candidate 4]], "")</f>
        <v/>
      </c>
      <c r="AI337" s="114" t="str">
        <f>IF(NOT(ISBLANK(Audit[[#This Row],[Audit Candidate 5]])), Audit[[#This Row],[Audit Candidate 5]]-Audit[[#This Row],[Candidate 5]], "")</f>
        <v/>
      </c>
      <c r="AJ337" s="114" t="str">
        <f>IF(NOT(ISBLANK(Audit[[#This Row],[Audit Candidate 6]])), Audit[[#This Row],[Audit Candidate 6]]-Audit[[#This Row],[Candidate 6]], "")</f>
        <v/>
      </c>
      <c r="AK337" s="114" t="str">
        <f>IF(NOT(ISBLANK(Audit[[#This Row],[Audit Candidate 7]])), Audit[[#This Row],[Audit Candidate 7]]-Audit[[#This Row],[Candidate 7]], "")</f>
        <v/>
      </c>
      <c r="AL337" s="114" t="str">
        <f>IF(NOT(ISBLANK(Audit[[#This Row],[Audit Candidate 8]])), Audit[[#This Row],[Audit Candidate 8]]-Audit[[#This Row],[Candidate 8]], "")</f>
        <v/>
      </c>
      <c r="AM337" s="114" t="str">
        <f>IF(NOT(ISBLANK(Audit[[#This Row],[Audit Candidate 9]])), Audit[[#This Row],[Audit Candidate 9]]-Audit[[#This Row],[Candidate 9]], "")</f>
        <v/>
      </c>
      <c r="AN337" s="114" t="str">
        <f>IF(NOT(ISBLANK(Audit[[#This Row],[Audit Candidate 10]])), Audit[[#This Row],[Audit Candidate 10]]-Audit[[#This Row],[Candidate 10]], "")</f>
        <v/>
      </c>
      <c r="AO337" s="114" t="str">
        <f>IF(NOT(ISBLANK(Audit[[#This Row],[Audit Candidate 11]])), Audit[[#This Row],[Audit Candidate 11]]-Audit[[#This Row],[Candidate 11]], "")</f>
        <v/>
      </c>
      <c r="AP337" s="114" t="str">
        <f>IF(NOT(ISBLANK(Audit[[#This Row],[Audit Candidate 12]])), Audit[[#This Row],[Audit Candidate 12]]-Audit[[#This Row],[Candidate 12]], "")</f>
        <v/>
      </c>
      <c r="AQ337" s="114">
        <f>SUMIF(Audit[[#This Row],[Difference Winner]:[Difference Candidate 12]], "&gt;0")</f>
        <v>0</v>
      </c>
      <c r="AR337" s="114">
        <f>SUM(Audit[[#This Row],[Difference Winner]:[Difference Candidate 12]])</f>
        <v>0</v>
      </c>
      <c r="AS337" s="114">
        <f>IF(Audit[[#This Row],[Times p Drawn - With Replacement]]&gt;0, IF(Audit[[#This Row],[Canceled Differences]]&lt;0, Audit[[#This Row],[Max Differences]]+ABS(Audit[[#This Row],[Canceled Differences]]), Audit[[#This Row],[Max Differences]]), 0)</f>
        <v>0</v>
      </c>
      <c r="AT337" s="114">
        <f>'Sampling Data'!AB337</f>
        <v>2.0795145692434108E-2</v>
      </c>
      <c r="AU337" s="114">
        <f>IF(
      SUM(Audit[[#This Row],[Audit Losing Candidate]:[Audit Candidate 12]])
      &lt;&gt;0,
      (Audit[[#This Row],[Winning Candidate]]-Audit[[#This Row],[Losing Candidate]]-(Audit[[#This Row],[Audit Winning Candidate]]-Audit[[#This Row],[Audit Losing Candidate]]))/(Audit[[#Totals],[Winning Candidate]]-Audit[[#Totals],[Losing Candidate]]),
      0
)</f>
        <v>0</v>
      </c>
      <c r="AV3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7" s="114">
        <f>IF(Audit[[#This Row],[Max Relative Error (ep)]] = 0, 0, Audit[[#This Row],[Max Relative Error (ep)]]/Audit[[#This Row],[Error Bound (up) - Max. possible relative overstatement]])</f>
        <v>0</v>
      </c>
      <c r="BH3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7" s="114">
        <f t="shared" si="6"/>
        <v>1</v>
      </c>
      <c r="BJ337" s="114">
        <f>PRODUCT($BI$5:BI337)</f>
        <v>7.4038944863463699E-2</v>
      </c>
      <c r="BK337" s="112">
        <f>1 - Audit[[#This Row],[K-M P Value]]</f>
        <v>0.92596105513653626</v>
      </c>
      <c r="BL337" s="114" t="str">
        <f>IF(Audit[[#This Row],[K-M P Value]]&gt;1-'General Info'!$B$12,"Continue", "Stop")</f>
        <v>Stop</v>
      </c>
      <c r="BM337" s="113" t="b">
        <f>IF(Audit[[#This Row],[Status - Continue or stop audit]] = "Continue", TRUE, IF(BL336 = "Continue", TRUE, FALSE))</f>
        <v>0</v>
      </c>
      <c r="BN337" s="113"/>
    </row>
    <row r="338" spans="1:66" ht="15" hidden="1" customHeight="1" x14ac:dyDescent="0.35">
      <c r="A338" s="114" t="str">
        <f>'Sampling Data'!AI338</f>
        <v/>
      </c>
      <c r="B338" s="114" t="str">
        <f>'Sampling Data'!A338</f>
        <v>2312 CIN 23-L   (ED)</v>
      </c>
      <c r="C338" s="114">
        <f>'Sampling Data'!B338</f>
        <v>40</v>
      </c>
      <c r="D338" s="114">
        <f>'Sampling Data'!C338</f>
        <v>7</v>
      </c>
      <c r="E338" s="115">
        <f>'Sampling Data'!D338</f>
        <v>4</v>
      </c>
      <c r="F338" s="115">
        <f>'Sampling Data'!E338</f>
        <v>0</v>
      </c>
      <c r="G338" s="115">
        <f>'Sampling Data'!F338</f>
        <v>0</v>
      </c>
      <c r="H338" s="115">
        <f>'Sampling Data'!G338</f>
        <v>0</v>
      </c>
      <c r="I338" s="115">
        <f>'Sampling Data'!H338</f>
        <v>0</v>
      </c>
      <c r="J338" s="115">
        <f>'Sampling Data'!I338</f>
        <v>0</v>
      </c>
      <c r="K338" s="115">
        <f>'Sampling Data'!J338</f>
        <v>0</v>
      </c>
      <c r="L338" s="115">
        <f>'Sampling Data'!K338</f>
        <v>0</v>
      </c>
      <c r="M338" s="115">
        <f>'Sampling Data'!L338</f>
        <v>0</v>
      </c>
      <c r="N338" s="115">
        <f>'Sampling Data'!M338</f>
        <v>0</v>
      </c>
      <c r="O338" s="114">
        <f>'Sampling Data'!N338</f>
        <v>0</v>
      </c>
      <c r="P338" s="114">
        <f>'Sampling Data'!O338</f>
        <v>0</v>
      </c>
      <c r="Q338" s="114">
        <f>'Sampling Data'!P338</f>
        <v>51</v>
      </c>
      <c r="R338" s="114">
        <f>'Sampling Data'!AJ338</f>
        <v>0</v>
      </c>
      <c r="S338" s="116"/>
      <c r="T338" s="116"/>
      <c r="U338" s="117"/>
      <c r="V338" s="117"/>
      <c r="W338" s="116"/>
      <c r="X338" s="116"/>
      <c r="Y338" s="116"/>
      <c r="Z338" s="116"/>
      <c r="AA338" s="15"/>
      <c r="AB338" s="15"/>
      <c r="AC338" s="15"/>
      <c r="AD338" s="15"/>
      <c r="AE338" s="118" t="str">
        <f>IF(NOT(ISBLANK(Audit[[#This Row],[Audit Winning Candidate]])), Audit[[#This Row],[Audit Winning Candidate]]-Audit[[#This Row],[Winning Candidate]], "")</f>
        <v/>
      </c>
      <c r="AF338" s="114" t="str">
        <f>IF(NOT(ISBLANK(Audit[[#This Row],[Audit Losing Candidate]])), Audit[[#This Row],[Audit Losing Candidate]]-Audit[[#This Row],[Losing Candidate]], "")</f>
        <v/>
      </c>
      <c r="AG338" s="114" t="str">
        <f>IF(NOT(ISBLANK(Audit[[#This Row],[Audit Candidate 3]])), Audit[[#This Row],[Audit Candidate 3]]-Audit[[#This Row],[Candidate 3]], "")</f>
        <v/>
      </c>
      <c r="AH338" s="114" t="str">
        <f>IF(NOT(ISBLANK(Audit[[#This Row],[Audit Candidate 4]])),Audit[[#This Row],[Audit Candidate 4]]-Audit[[#This Row],[Candidate 4]], "")</f>
        <v/>
      </c>
      <c r="AI338" s="114" t="str">
        <f>IF(NOT(ISBLANK(Audit[[#This Row],[Audit Candidate 5]])), Audit[[#This Row],[Audit Candidate 5]]-Audit[[#This Row],[Candidate 5]], "")</f>
        <v/>
      </c>
      <c r="AJ338" s="114" t="str">
        <f>IF(NOT(ISBLANK(Audit[[#This Row],[Audit Candidate 6]])), Audit[[#This Row],[Audit Candidate 6]]-Audit[[#This Row],[Candidate 6]], "")</f>
        <v/>
      </c>
      <c r="AK338" s="114" t="str">
        <f>IF(NOT(ISBLANK(Audit[[#This Row],[Audit Candidate 7]])), Audit[[#This Row],[Audit Candidate 7]]-Audit[[#This Row],[Candidate 7]], "")</f>
        <v/>
      </c>
      <c r="AL338" s="114" t="str">
        <f>IF(NOT(ISBLANK(Audit[[#This Row],[Audit Candidate 8]])), Audit[[#This Row],[Audit Candidate 8]]-Audit[[#This Row],[Candidate 8]], "")</f>
        <v/>
      </c>
      <c r="AM338" s="114" t="str">
        <f>IF(NOT(ISBLANK(Audit[[#This Row],[Audit Candidate 9]])), Audit[[#This Row],[Audit Candidate 9]]-Audit[[#This Row],[Candidate 9]], "")</f>
        <v/>
      </c>
      <c r="AN338" s="114" t="str">
        <f>IF(NOT(ISBLANK(Audit[[#This Row],[Audit Candidate 10]])), Audit[[#This Row],[Audit Candidate 10]]-Audit[[#This Row],[Candidate 10]], "")</f>
        <v/>
      </c>
      <c r="AO338" s="114" t="str">
        <f>IF(NOT(ISBLANK(Audit[[#This Row],[Audit Candidate 11]])), Audit[[#This Row],[Audit Candidate 11]]-Audit[[#This Row],[Candidate 11]], "")</f>
        <v/>
      </c>
      <c r="AP338" s="114" t="str">
        <f>IF(NOT(ISBLANK(Audit[[#This Row],[Audit Candidate 12]])), Audit[[#This Row],[Audit Candidate 12]]-Audit[[#This Row],[Candidate 12]], "")</f>
        <v/>
      </c>
      <c r="AQ338" s="114">
        <f>SUMIF(Audit[[#This Row],[Difference Winner]:[Difference Candidate 12]], "&gt;0")</f>
        <v>0</v>
      </c>
      <c r="AR338" s="114">
        <f>SUM(Audit[[#This Row],[Difference Winner]:[Difference Candidate 12]])</f>
        <v>0</v>
      </c>
      <c r="AS338" s="114">
        <f>IF(Audit[[#This Row],[Times p Drawn - With Replacement]]&gt;0, IF(Audit[[#This Row],[Canceled Differences]]&lt;0, Audit[[#This Row],[Max Differences]]+ABS(Audit[[#This Row],[Canceled Differences]]), Audit[[#This Row],[Max Differences]]), 0)</f>
        <v>0</v>
      </c>
      <c r="AT338" s="114">
        <f>'Sampling Data'!AB338</f>
        <v>5.309398900195942E-3</v>
      </c>
      <c r="AU338" s="114">
        <f>IF(
      SUM(Audit[[#This Row],[Audit Losing Candidate]:[Audit Candidate 12]])
      &lt;&gt;0,
      (Audit[[#This Row],[Winning Candidate]]-Audit[[#This Row],[Losing Candidate]]-(Audit[[#This Row],[Audit Winning Candidate]]-Audit[[#This Row],[Audit Losing Candidate]]))/(Audit[[#Totals],[Winning Candidate]]-Audit[[#Totals],[Losing Candidate]]),
      0
)</f>
        <v>0</v>
      </c>
      <c r="AV3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8" s="114">
        <f>IF(Audit[[#This Row],[Max Relative Error (ep)]] = 0, 0, Audit[[#This Row],[Max Relative Error (ep)]]/Audit[[#This Row],[Error Bound (up) - Max. possible relative overstatement]])</f>
        <v>0</v>
      </c>
      <c r="BH3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8" s="114">
        <f t="shared" si="6"/>
        <v>1</v>
      </c>
      <c r="BJ338" s="114">
        <f>PRODUCT($BI$5:BI338)</f>
        <v>7.4038944863463699E-2</v>
      </c>
      <c r="BK338" s="112">
        <f>1 - Audit[[#This Row],[K-M P Value]]</f>
        <v>0.92596105513653626</v>
      </c>
      <c r="BL338" s="114" t="str">
        <f>IF(Audit[[#This Row],[K-M P Value]]&gt;1-'General Info'!$B$12,"Continue", "Stop")</f>
        <v>Stop</v>
      </c>
      <c r="BM338" s="113" t="b">
        <f>IF(Audit[[#This Row],[Status - Continue or stop audit]] = "Continue", TRUE, IF(BL337 = "Continue", TRUE, FALSE))</f>
        <v>0</v>
      </c>
      <c r="BN338" s="113"/>
    </row>
    <row r="339" spans="1:66" ht="15" hidden="1" customHeight="1" x14ac:dyDescent="0.35">
      <c r="A339" s="114" t="str">
        <f>'Sampling Data'!AI339</f>
        <v/>
      </c>
      <c r="B339" s="114" t="str">
        <f>'Sampling Data'!A339</f>
        <v>2313 CIN 23-M   (ED)</v>
      </c>
      <c r="C339" s="114">
        <f>'Sampling Data'!B339</f>
        <v>88</v>
      </c>
      <c r="D339" s="114">
        <f>'Sampling Data'!C339</f>
        <v>7</v>
      </c>
      <c r="E339" s="115">
        <f>'Sampling Data'!D339</f>
        <v>1</v>
      </c>
      <c r="F339" s="115">
        <f>'Sampling Data'!E339</f>
        <v>0</v>
      </c>
      <c r="G339" s="115">
        <f>'Sampling Data'!F339</f>
        <v>0</v>
      </c>
      <c r="H339" s="115">
        <f>'Sampling Data'!G339</f>
        <v>0</v>
      </c>
      <c r="I339" s="115">
        <f>'Sampling Data'!H339</f>
        <v>0</v>
      </c>
      <c r="J339" s="115">
        <f>'Sampling Data'!I339</f>
        <v>0</v>
      </c>
      <c r="K339" s="115">
        <f>'Sampling Data'!J339</f>
        <v>0</v>
      </c>
      <c r="L339" s="115">
        <f>'Sampling Data'!K339</f>
        <v>0</v>
      </c>
      <c r="M339" s="115">
        <f>'Sampling Data'!L339</f>
        <v>0</v>
      </c>
      <c r="N339" s="115">
        <f>'Sampling Data'!M339</f>
        <v>0</v>
      </c>
      <c r="O339" s="114">
        <f>'Sampling Data'!N339</f>
        <v>0</v>
      </c>
      <c r="P339" s="114">
        <f>'Sampling Data'!O339</f>
        <v>1</v>
      </c>
      <c r="Q339" s="114">
        <f>'Sampling Data'!P339</f>
        <v>97</v>
      </c>
      <c r="R339" s="114">
        <f>'Sampling Data'!AJ339</f>
        <v>0</v>
      </c>
      <c r="S339" s="116"/>
      <c r="T339" s="116"/>
      <c r="U339" s="117"/>
      <c r="V339" s="117"/>
      <c r="W339" s="116"/>
      <c r="X339" s="116"/>
      <c r="Y339" s="116"/>
      <c r="Z339" s="116"/>
      <c r="AA339" s="15"/>
      <c r="AB339" s="15"/>
      <c r="AC339" s="15"/>
      <c r="AD339" s="15"/>
      <c r="AE339" s="118" t="str">
        <f>IF(NOT(ISBLANK(Audit[[#This Row],[Audit Winning Candidate]])), Audit[[#This Row],[Audit Winning Candidate]]-Audit[[#This Row],[Winning Candidate]], "")</f>
        <v/>
      </c>
      <c r="AF339" s="114" t="str">
        <f>IF(NOT(ISBLANK(Audit[[#This Row],[Audit Losing Candidate]])), Audit[[#This Row],[Audit Losing Candidate]]-Audit[[#This Row],[Losing Candidate]], "")</f>
        <v/>
      </c>
      <c r="AG339" s="114" t="str">
        <f>IF(NOT(ISBLANK(Audit[[#This Row],[Audit Candidate 3]])), Audit[[#This Row],[Audit Candidate 3]]-Audit[[#This Row],[Candidate 3]], "")</f>
        <v/>
      </c>
      <c r="AH339" s="114" t="str">
        <f>IF(NOT(ISBLANK(Audit[[#This Row],[Audit Candidate 4]])),Audit[[#This Row],[Audit Candidate 4]]-Audit[[#This Row],[Candidate 4]], "")</f>
        <v/>
      </c>
      <c r="AI339" s="114" t="str">
        <f>IF(NOT(ISBLANK(Audit[[#This Row],[Audit Candidate 5]])), Audit[[#This Row],[Audit Candidate 5]]-Audit[[#This Row],[Candidate 5]], "")</f>
        <v/>
      </c>
      <c r="AJ339" s="114" t="str">
        <f>IF(NOT(ISBLANK(Audit[[#This Row],[Audit Candidate 6]])), Audit[[#This Row],[Audit Candidate 6]]-Audit[[#This Row],[Candidate 6]], "")</f>
        <v/>
      </c>
      <c r="AK339" s="114" t="str">
        <f>IF(NOT(ISBLANK(Audit[[#This Row],[Audit Candidate 7]])), Audit[[#This Row],[Audit Candidate 7]]-Audit[[#This Row],[Candidate 7]], "")</f>
        <v/>
      </c>
      <c r="AL339" s="114" t="str">
        <f>IF(NOT(ISBLANK(Audit[[#This Row],[Audit Candidate 8]])), Audit[[#This Row],[Audit Candidate 8]]-Audit[[#This Row],[Candidate 8]], "")</f>
        <v/>
      </c>
      <c r="AM339" s="114" t="str">
        <f>IF(NOT(ISBLANK(Audit[[#This Row],[Audit Candidate 9]])), Audit[[#This Row],[Audit Candidate 9]]-Audit[[#This Row],[Candidate 9]], "")</f>
        <v/>
      </c>
      <c r="AN339" s="114" t="str">
        <f>IF(NOT(ISBLANK(Audit[[#This Row],[Audit Candidate 10]])), Audit[[#This Row],[Audit Candidate 10]]-Audit[[#This Row],[Candidate 10]], "")</f>
        <v/>
      </c>
      <c r="AO339" s="114" t="str">
        <f>IF(NOT(ISBLANK(Audit[[#This Row],[Audit Candidate 11]])), Audit[[#This Row],[Audit Candidate 11]]-Audit[[#This Row],[Candidate 11]], "")</f>
        <v/>
      </c>
      <c r="AP339" s="114" t="str">
        <f>IF(NOT(ISBLANK(Audit[[#This Row],[Audit Candidate 12]])), Audit[[#This Row],[Audit Candidate 12]]-Audit[[#This Row],[Candidate 12]], "")</f>
        <v/>
      </c>
      <c r="AQ339" s="114">
        <f>SUMIF(Audit[[#This Row],[Difference Winner]:[Difference Candidate 12]], "&gt;0")</f>
        <v>0</v>
      </c>
      <c r="AR339" s="114">
        <f>SUM(Audit[[#This Row],[Difference Winner]:[Difference Candidate 12]])</f>
        <v>0</v>
      </c>
      <c r="AS339" s="114">
        <f>IF(Audit[[#This Row],[Times p Drawn - With Replacement]]&gt;0, IF(Audit[[#This Row],[Canceled Differences]]&lt;0, Audit[[#This Row],[Max Differences]]+ABS(Audit[[#This Row],[Canceled Differences]]), Audit[[#This Row],[Max Differences]]), 0)</f>
        <v>0</v>
      </c>
      <c r="AT339" s="114">
        <f>'Sampling Data'!AB339</f>
        <v>1.1250869098034258E-2</v>
      </c>
      <c r="AU339" s="114">
        <f>IF(
      SUM(Audit[[#This Row],[Audit Losing Candidate]:[Audit Candidate 12]])
      &lt;&gt;0,
      (Audit[[#This Row],[Winning Candidate]]-Audit[[#This Row],[Losing Candidate]]-(Audit[[#This Row],[Audit Winning Candidate]]-Audit[[#This Row],[Audit Losing Candidate]]))/(Audit[[#Totals],[Winning Candidate]]-Audit[[#Totals],[Losing Candidate]]),
      0
)</f>
        <v>0</v>
      </c>
      <c r="AV3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9" s="114">
        <f>IF(Audit[[#This Row],[Max Relative Error (ep)]] = 0, 0, Audit[[#This Row],[Max Relative Error (ep)]]/Audit[[#This Row],[Error Bound (up) - Max. possible relative overstatement]])</f>
        <v>0</v>
      </c>
      <c r="BH3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39" s="114">
        <f t="shared" si="6"/>
        <v>1</v>
      </c>
      <c r="BJ339" s="114">
        <f>PRODUCT($BI$5:BI339)</f>
        <v>7.4038944863463699E-2</v>
      </c>
      <c r="BK339" s="112">
        <f>1 - Audit[[#This Row],[K-M P Value]]</f>
        <v>0.92596105513653626</v>
      </c>
      <c r="BL339" s="114" t="str">
        <f>IF(Audit[[#This Row],[K-M P Value]]&gt;1-'General Info'!$B$12,"Continue", "Stop")</f>
        <v>Stop</v>
      </c>
      <c r="BM339" s="113" t="b">
        <f>IF(Audit[[#This Row],[Status - Continue or stop audit]] = "Continue", TRUE, IF(BL338 = "Continue", TRUE, FALSE))</f>
        <v>0</v>
      </c>
      <c r="BN339" s="113"/>
    </row>
    <row r="340" spans="1:66" ht="15" hidden="1" customHeight="1" x14ac:dyDescent="0.35">
      <c r="A340" s="114" t="str">
        <f>'Sampling Data'!AI340</f>
        <v/>
      </c>
      <c r="B340" s="114" t="str">
        <f>'Sampling Data'!A340</f>
        <v>2314 CIN 23-N   (ED)</v>
      </c>
      <c r="C340" s="114">
        <f>'Sampling Data'!B340</f>
        <v>171</v>
      </c>
      <c r="D340" s="114">
        <f>'Sampling Data'!C340</f>
        <v>22</v>
      </c>
      <c r="E340" s="115">
        <f>'Sampling Data'!D340</f>
        <v>7</v>
      </c>
      <c r="F340" s="115">
        <f>'Sampling Data'!E340</f>
        <v>0</v>
      </c>
      <c r="G340" s="115">
        <f>'Sampling Data'!F340</f>
        <v>0</v>
      </c>
      <c r="H340" s="115">
        <f>'Sampling Data'!G340</f>
        <v>0</v>
      </c>
      <c r="I340" s="115">
        <f>'Sampling Data'!H340</f>
        <v>0</v>
      </c>
      <c r="J340" s="115">
        <f>'Sampling Data'!I340</f>
        <v>0</v>
      </c>
      <c r="K340" s="115">
        <f>'Sampling Data'!J340</f>
        <v>0</v>
      </c>
      <c r="L340" s="115">
        <f>'Sampling Data'!K340</f>
        <v>0</v>
      </c>
      <c r="M340" s="115">
        <f>'Sampling Data'!L340</f>
        <v>0</v>
      </c>
      <c r="N340" s="115">
        <f>'Sampling Data'!M340</f>
        <v>0</v>
      </c>
      <c r="O340" s="114">
        <f>'Sampling Data'!N340</f>
        <v>0</v>
      </c>
      <c r="P340" s="114">
        <f>'Sampling Data'!O340</f>
        <v>1</v>
      </c>
      <c r="Q340" s="114">
        <f>'Sampling Data'!P340</f>
        <v>201</v>
      </c>
      <c r="R340" s="114">
        <f>'Sampling Data'!AJ340</f>
        <v>0</v>
      </c>
      <c r="S340" s="116"/>
      <c r="T340" s="116"/>
      <c r="U340" s="117"/>
      <c r="V340" s="117"/>
      <c r="W340" s="116"/>
      <c r="X340" s="116"/>
      <c r="Y340" s="116"/>
      <c r="Z340" s="116"/>
      <c r="AA340" s="15"/>
      <c r="AB340" s="15"/>
      <c r="AC340" s="15"/>
      <c r="AD340" s="15"/>
      <c r="AE340" s="118" t="str">
        <f>IF(NOT(ISBLANK(Audit[[#This Row],[Audit Winning Candidate]])), Audit[[#This Row],[Audit Winning Candidate]]-Audit[[#This Row],[Winning Candidate]], "")</f>
        <v/>
      </c>
      <c r="AF340" s="114" t="str">
        <f>IF(NOT(ISBLANK(Audit[[#This Row],[Audit Losing Candidate]])), Audit[[#This Row],[Audit Losing Candidate]]-Audit[[#This Row],[Losing Candidate]], "")</f>
        <v/>
      </c>
      <c r="AG340" s="114" t="str">
        <f>IF(NOT(ISBLANK(Audit[[#This Row],[Audit Candidate 3]])), Audit[[#This Row],[Audit Candidate 3]]-Audit[[#This Row],[Candidate 3]], "")</f>
        <v/>
      </c>
      <c r="AH340" s="114" t="str">
        <f>IF(NOT(ISBLANK(Audit[[#This Row],[Audit Candidate 4]])),Audit[[#This Row],[Audit Candidate 4]]-Audit[[#This Row],[Candidate 4]], "")</f>
        <v/>
      </c>
      <c r="AI340" s="114" t="str">
        <f>IF(NOT(ISBLANK(Audit[[#This Row],[Audit Candidate 5]])), Audit[[#This Row],[Audit Candidate 5]]-Audit[[#This Row],[Candidate 5]], "")</f>
        <v/>
      </c>
      <c r="AJ340" s="114" t="str">
        <f>IF(NOT(ISBLANK(Audit[[#This Row],[Audit Candidate 6]])), Audit[[#This Row],[Audit Candidate 6]]-Audit[[#This Row],[Candidate 6]], "")</f>
        <v/>
      </c>
      <c r="AK340" s="114" t="str">
        <f>IF(NOT(ISBLANK(Audit[[#This Row],[Audit Candidate 7]])), Audit[[#This Row],[Audit Candidate 7]]-Audit[[#This Row],[Candidate 7]], "")</f>
        <v/>
      </c>
      <c r="AL340" s="114" t="str">
        <f>IF(NOT(ISBLANK(Audit[[#This Row],[Audit Candidate 8]])), Audit[[#This Row],[Audit Candidate 8]]-Audit[[#This Row],[Candidate 8]], "")</f>
        <v/>
      </c>
      <c r="AM340" s="114" t="str">
        <f>IF(NOT(ISBLANK(Audit[[#This Row],[Audit Candidate 9]])), Audit[[#This Row],[Audit Candidate 9]]-Audit[[#This Row],[Candidate 9]], "")</f>
        <v/>
      </c>
      <c r="AN340" s="114" t="str">
        <f>IF(NOT(ISBLANK(Audit[[#This Row],[Audit Candidate 10]])), Audit[[#This Row],[Audit Candidate 10]]-Audit[[#This Row],[Candidate 10]], "")</f>
        <v/>
      </c>
      <c r="AO340" s="114" t="str">
        <f>IF(NOT(ISBLANK(Audit[[#This Row],[Audit Candidate 11]])), Audit[[#This Row],[Audit Candidate 11]]-Audit[[#This Row],[Candidate 11]], "")</f>
        <v/>
      </c>
      <c r="AP340" s="114" t="str">
        <f>IF(NOT(ISBLANK(Audit[[#This Row],[Audit Candidate 12]])), Audit[[#This Row],[Audit Candidate 12]]-Audit[[#This Row],[Candidate 12]], "")</f>
        <v/>
      </c>
      <c r="AQ340" s="114">
        <f>SUMIF(Audit[[#This Row],[Difference Winner]:[Difference Candidate 12]], "&gt;0")</f>
        <v>0</v>
      </c>
      <c r="AR340" s="114">
        <f>SUM(Audit[[#This Row],[Difference Winner]:[Difference Candidate 12]])</f>
        <v>0</v>
      </c>
      <c r="AS340" s="114">
        <f>IF(Audit[[#This Row],[Times p Drawn - With Replacement]]&gt;0, IF(Audit[[#This Row],[Canceled Differences]]&lt;0, Audit[[#This Row],[Max Differences]]+ABS(Audit[[#This Row],[Canceled Differences]]), Audit[[#This Row],[Max Differences]]), 0)</f>
        <v>0</v>
      </c>
      <c r="AT340" s="114">
        <f>'Sampling Data'!AB340</f>
        <v>2.2122495417483092E-2</v>
      </c>
      <c r="AU340" s="114">
        <f>IF(
      SUM(Audit[[#This Row],[Audit Losing Candidate]:[Audit Candidate 12]])
      &lt;&gt;0,
      (Audit[[#This Row],[Winning Candidate]]-Audit[[#This Row],[Losing Candidate]]-(Audit[[#This Row],[Audit Winning Candidate]]-Audit[[#This Row],[Audit Losing Candidate]]))/(Audit[[#Totals],[Winning Candidate]]-Audit[[#Totals],[Losing Candidate]]),
      0
)</f>
        <v>0</v>
      </c>
      <c r="AV3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0" s="114">
        <f>IF(Audit[[#This Row],[Max Relative Error (ep)]] = 0, 0, Audit[[#This Row],[Max Relative Error (ep)]]/Audit[[#This Row],[Error Bound (up) - Max. possible relative overstatement]])</f>
        <v>0</v>
      </c>
      <c r="BH3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0" s="114">
        <f t="shared" si="6"/>
        <v>1</v>
      </c>
      <c r="BJ340" s="114">
        <f>PRODUCT($BI$5:BI340)</f>
        <v>7.4038944863463699E-2</v>
      </c>
      <c r="BK340" s="112">
        <f>1 - Audit[[#This Row],[K-M P Value]]</f>
        <v>0.92596105513653626</v>
      </c>
      <c r="BL340" s="114" t="str">
        <f>IF(Audit[[#This Row],[K-M P Value]]&gt;1-'General Info'!$B$12,"Continue", "Stop")</f>
        <v>Stop</v>
      </c>
      <c r="BM340" s="113" t="b">
        <f>IF(Audit[[#This Row],[Status - Continue or stop audit]] = "Continue", TRUE, IF(BL339 = "Continue", TRUE, FALSE))</f>
        <v>0</v>
      </c>
      <c r="BN340" s="113"/>
    </row>
    <row r="341" spans="1:66" ht="15" hidden="1" customHeight="1" x14ac:dyDescent="0.35">
      <c r="A341" s="114" t="str">
        <f>'Sampling Data'!AI341</f>
        <v/>
      </c>
      <c r="B341" s="114" t="str">
        <f>'Sampling Data'!A341</f>
        <v>2315 CIN 23-O   (ED)</v>
      </c>
      <c r="C341" s="114">
        <f>'Sampling Data'!B341</f>
        <v>128</v>
      </c>
      <c r="D341" s="114">
        <f>'Sampling Data'!C341</f>
        <v>6</v>
      </c>
      <c r="E341" s="115">
        <f>'Sampling Data'!D341</f>
        <v>3</v>
      </c>
      <c r="F341" s="115">
        <f>'Sampling Data'!E341</f>
        <v>0</v>
      </c>
      <c r="G341" s="115">
        <f>'Sampling Data'!F341</f>
        <v>0</v>
      </c>
      <c r="H341" s="115">
        <f>'Sampling Data'!G341</f>
        <v>0</v>
      </c>
      <c r="I341" s="115">
        <f>'Sampling Data'!H341</f>
        <v>0</v>
      </c>
      <c r="J341" s="115">
        <f>'Sampling Data'!I341</f>
        <v>0</v>
      </c>
      <c r="K341" s="115">
        <f>'Sampling Data'!J341</f>
        <v>0</v>
      </c>
      <c r="L341" s="115">
        <f>'Sampling Data'!K341</f>
        <v>0</v>
      </c>
      <c r="M341" s="115">
        <f>'Sampling Data'!L341</f>
        <v>0</v>
      </c>
      <c r="N341" s="115">
        <f>'Sampling Data'!M341</f>
        <v>0</v>
      </c>
      <c r="O341" s="114">
        <f>'Sampling Data'!N341</f>
        <v>0</v>
      </c>
      <c r="P341" s="114">
        <f>'Sampling Data'!O341</f>
        <v>1</v>
      </c>
      <c r="Q341" s="114">
        <f>'Sampling Data'!P341</f>
        <v>138</v>
      </c>
      <c r="R341" s="114">
        <f>'Sampling Data'!AJ341</f>
        <v>0</v>
      </c>
      <c r="S341" s="116"/>
      <c r="T341" s="116"/>
      <c r="U341" s="117"/>
      <c r="V341" s="117"/>
      <c r="W341" s="116"/>
      <c r="X341" s="116"/>
      <c r="Y341" s="116"/>
      <c r="Z341" s="116"/>
      <c r="AA341" s="15"/>
      <c r="AB341" s="15"/>
      <c r="AC341" s="15"/>
      <c r="AD341" s="15"/>
      <c r="AE341" s="118" t="str">
        <f>IF(NOT(ISBLANK(Audit[[#This Row],[Audit Winning Candidate]])), Audit[[#This Row],[Audit Winning Candidate]]-Audit[[#This Row],[Winning Candidate]], "")</f>
        <v/>
      </c>
      <c r="AF341" s="114" t="str">
        <f>IF(NOT(ISBLANK(Audit[[#This Row],[Audit Losing Candidate]])), Audit[[#This Row],[Audit Losing Candidate]]-Audit[[#This Row],[Losing Candidate]], "")</f>
        <v/>
      </c>
      <c r="AG341" s="114" t="str">
        <f>IF(NOT(ISBLANK(Audit[[#This Row],[Audit Candidate 3]])), Audit[[#This Row],[Audit Candidate 3]]-Audit[[#This Row],[Candidate 3]], "")</f>
        <v/>
      </c>
      <c r="AH341" s="114" t="str">
        <f>IF(NOT(ISBLANK(Audit[[#This Row],[Audit Candidate 4]])),Audit[[#This Row],[Audit Candidate 4]]-Audit[[#This Row],[Candidate 4]], "")</f>
        <v/>
      </c>
      <c r="AI341" s="114" t="str">
        <f>IF(NOT(ISBLANK(Audit[[#This Row],[Audit Candidate 5]])), Audit[[#This Row],[Audit Candidate 5]]-Audit[[#This Row],[Candidate 5]], "")</f>
        <v/>
      </c>
      <c r="AJ341" s="114" t="str">
        <f>IF(NOT(ISBLANK(Audit[[#This Row],[Audit Candidate 6]])), Audit[[#This Row],[Audit Candidate 6]]-Audit[[#This Row],[Candidate 6]], "")</f>
        <v/>
      </c>
      <c r="AK341" s="114" t="str">
        <f>IF(NOT(ISBLANK(Audit[[#This Row],[Audit Candidate 7]])), Audit[[#This Row],[Audit Candidate 7]]-Audit[[#This Row],[Candidate 7]], "")</f>
        <v/>
      </c>
      <c r="AL341" s="114" t="str">
        <f>IF(NOT(ISBLANK(Audit[[#This Row],[Audit Candidate 8]])), Audit[[#This Row],[Audit Candidate 8]]-Audit[[#This Row],[Candidate 8]], "")</f>
        <v/>
      </c>
      <c r="AM341" s="114" t="str">
        <f>IF(NOT(ISBLANK(Audit[[#This Row],[Audit Candidate 9]])), Audit[[#This Row],[Audit Candidate 9]]-Audit[[#This Row],[Candidate 9]], "")</f>
        <v/>
      </c>
      <c r="AN341" s="114" t="str">
        <f>IF(NOT(ISBLANK(Audit[[#This Row],[Audit Candidate 10]])), Audit[[#This Row],[Audit Candidate 10]]-Audit[[#This Row],[Candidate 10]], "")</f>
        <v/>
      </c>
      <c r="AO341" s="114" t="str">
        <f>IF(NOT(ISBLANK(Audit[[#This Row],[Audit Candidate 11]])), Audit[[#This Row],[Audit Candidate 11]]-Audit[[#This Row],[Candidate 11]], "")</f>
        <v/>
      </c>
      <c r="AP341" s="114" t="str">
        <f>IF(NOT(ISBLANK(Audit[[#This Row],[Audit Candidate 12]])), Audit[[#This Row],[Audit Candidate 12]]-Audit[[#This Row],[Candidate 12]], "")</f>
        <v/>
      </c>
      <c r="AQ341" s="114">
        <f>SUMIF(Audit[[#This Row],[Difference Winner]:[Difference Candidate 12]], "&gt;0")</f>
        <v>0</v>
      </c>
      <c r="AR341" s="114">
        <f>SUM(Audit[[#This Row],[Difference Winner]:[Difference Candidate 12]])</f>
        <v>0</v>
      </c>
      <c r="AS341" s="114">
        <f>IF(Audit[[#This Row],[Times p Drawn - With Replacement]]&gt;0, IF(Audit[[#This Row],[Canceled Differences]]&lt;0, Audit[[#This Row],[Max Differences]]+ABS(Audit[[#This Row],[Canceled Differences]]), Audit[[#This Row],[Max Differences]]), 0)</f>
        <v>0</v>
      </c>
      <c r="AT341" s="114">
        <f>'Sampling Data'!AB341</f>
        <v>1.6433853738701727E-2</v>
      </c>
      <c r="AU341" s="114">
        <f>IF(
      SUM(Audit[[#This Row],[Audit Losing Candidate]:[Audit Candidate 12]])
      &lt;&gt;0,
      (Audit[[#This Row],[Winning Candidate]]-Audit[[#This Row],[Losing Candidate]]-(Audit[[#This Row],[Audit Winning Candidate]]-Audit[[#This Row],[Audit Losing Candidate]]))/(Audit[[#Totals],[Winning Candidate]]-Audit[[#Totals],[Losing Candidate]]),
      0
)</f>
        <v>0</v>
      </c>
      <c r="AV3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1" s="114">
        <f>IF(Audit[[#This Row],[Max Relative Error (ep)]] = 0, 0, Audit[[#This Row],[Max Relative Error (ep)]]/Audit[[#This Row],[Error Bound (up) - Max. possible relative overstatement]])</f>
        <v>0</v>
      </c>
      <c r="BH3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1" s="114">
        <f t="shared" si="6"/>
        <v>1</v>
      </c>
      <c r="BJ341" s="114">
        <f>PRODUCT($BI$5:BI341)</f>
        <v>7.4038944863463699E-2</v>
      </c>
      <c r="BK341" s="112">
        <f>1 - Audit[[#This Row],[K-M P Value]]</f>
        <v>0.92596105513653626</v>
      </c>
      <c r="BL341" s="114" t="str">
        <f>IF(Audit[[#This Row],[K-M P Value]]&gt;1-'General Info'!$B$12,"Continue", "Stop")</f>
        <v>Stop</v>
      </c>
      <c r="BM341" s="113" t="b">
        <f>IF(Audit[[#This Row],[Status - Continue or stop audit]] = "Continue", TRUE, IF(BL340 = "Continue", TRUE, FALSE))</f>
        <v>0</v>
      </c>
      <c r="BN341" s="113"/>
    </row>
    <row r="342" spans="1:66" ht="15" hidden="1" customHeight="1" x14ac:dyDescent="0.35">
      <c r="A342" s="114" t="str">
        <f>'Sampling Data'!AI342</f>
        <v/>
      </c>
      <c r="B342" s="114" t="str">
        <f>'Sampling Data'!A342</f>
        <v>2316 CIN 23-P   (ED)</v>
      </c>
      <c r="C342" s="114">
        <f>'Sampling Data'!B342</f>
        <v>91</v>
      </c>
      <c r="D342" s="114">
        <f>'Sampling Data'!C342</f>
        <v>7</v>
      </c>
      <c r="E342" s="115">
        <f>'Sampling Data'!D342</f>
        <v>3</v>
      </c>
      <c r="F342" s="115">
        <f>'Sampling Data'!E342</f>
        <v>0</v>
      </c>
      <c r="G342" s="115">
        <f>'Sampling Data'!F342</f>
        <v>0</v>
      </c>
      <c r="H342" s="115">
        <f>'Sampling Data'!G342</f>
        <v>0</v>
      </c>
      <c r="I342" s="115">
        <f>'Sampling Data'!H342</f>
        <v>0</v>
      </c>
      <c r="J342" s="115">
        <f>'Sampling Data'!I342</f>
        <v>0</v>
      </c>
      <c r="K342" s="115">
        <f>'Sampling Data'!J342</f>
        <v>0</v>
      </c>
      <c r="L342" s="115">
        <f>'Sampling Data'!K342</f>
        <v>0</v>
      </c>
      <c r="M342" s="115">
        <f>'Sampling Data'!L342</f>
        <v>0</v>
      </c>
      <c r="N342" s="115">
        <f>'Sampling Data'!M342</f>
        <v>0</v>
      </c>
      <c r="O342" s="114">
        <f>'Sampling Data'!N342</f>
        <v>0</v>
      </c>
      <c r="P342" s="114">
        <f>'Sampling Data'!O342</f>
        <v>0</v>
      </c>
      <c r="Q342" s="114">
        <f>'Sampling Data'!P342</f>
        <v>101</v>
      </c>
      <c r="R342" s="114">
        <f>'Sampling Data'!AJ342</f>
        <v>0</v>
      </c>
      <c r="S342" s="116"/>
      <c r="T342" s="116"/>
      <c r="U342" s="117"/>
      <c r="V342" s="117"/>
      <c r="W342" s="116"/>
      <c r="X342" s="116"/>
      <c r="Y342" s="116"/>
      <c r="Z342" s="116"/>
      <c r="AA342" s="15"/>
      <c r="AB342" s="15"/>
      <c r="AC342" s="15"/>
      <c r="AD342" s="15"/>
      <c r="AE342" s="118" t="str">
        <f>IF(NOT(ISBLANK(Audit[[#This Row],[Audit Winning Candidate]])), Audit[[#This Row],[Audit Winning Candidate]]-Audit[[#This Row],[Winning Candidate]], "")</f>
        <v/>
      </c>
      <c r="AF342" s="114" t="str">
        <f>IF(NOT(ISBLANK(Audit[[#This Row],[Audit Losing Candidate]])), Audit[[#This Row],[Audit Losing Candidate]]-Audit[[#This Row],[Losing Candidate]], "")</f>
        <v/>
      </c>
      <c r="AG342" s="114" t="str">
        <f>IF(NOT(ISBLANK(Audit[[#This Row],[Audit Candidate 3]])), Audit[[#This Row],[Audit Candidate 3]]-Audit[[#This Row],[Candidate 3]], "")</f>
        <v/>
      </c>
      <c r="AH342" s="114" t="str">
        <f>IF(NOT(ISBLANK(Audit[[#This Row],[Audit Candidate 4]])),Audit[[#This Row],[Audit Candidate 4]]-Audit[[#This Row],[Candidate 4]], "")</f>
        <v/>
      </c>
      <c r="AI342" s="114" t="str">
        <f>IF(NOT(ISBLANK(Audit[[#This Row],[Audit Candidate 5]])), Audit[[#This Row],[Audit Candidate 5]]-Audit[[#This Row],[Candidate 5]], "")</f>
        <v/>
      </c>
      <c r="AJ342" s="114" t="str">
        <f>IF(NOT(ISBLANK(Audit[[#This Row],[Audit Candidate 6]])), Audit[[#This Row],[Audit Candidate 6]]-Audit[[#This Row],[Candidate 6]], "")</f>
        <v/>
      </c>
      <c r="AK342" s="114" t="str">
        <f>IF(NOT(ISBLANK(Audit[[#This Row],[Audit Candidate 7]])), Audit[[#This Row],[Audit Candidate 7]]-Audit[[#This Row],[Candidate 7]], "")</f>
        <v/>
      </c>
      <c r="AL342" s="114" t="str">
        <f>IF(NOT(ISBLANK(Audit[[#This Row],[Audit Candidate 8]])), Audit[[#This Row],[Audit Candidate 8]]-Audit[[#This Row],[Candidate 8]], "")</f>
        <v/>
      </c>
      <c r="AM342" s="114" t="str">
        <f>IF(NOT(ISBLANK(Audit[[#This Row],[Audit Candidate 9]])), Audit[[#This Row],[Audit Candidate 9]]-Audit[[#This Row],[Candidate 9]], "")</f>
        <v/>
      </c>
      <c r="AN342" s="114" t="str">
        <f>IF(NOT(ISBLANK(Audit[[#This Row],[Audit Candidate 10]])), Audit[[#This Row],[Audit Candidate 10]]-Audit[[#This Row],[Candidate 10]], "")</f>
        <v/>
      </c>
      <c r="AO342" s="114" t="str">
        <f>IF(NOT(ISBLANK(Audit[[#This Row],[Audit Candidate 11]])), Audit[[#This Row],[Audit Candidate 11]]-Audit[[#This Row],[Candidate 11]], "")</f>
        <v/>
      </c>
      <c r="AP342" s="114" t="str">
        <f>IF(NOT(ISBLANK(Audit[[#This Row],[Audit Candidate 12]])), Audit[[#This Row],[Audit Candidate 12]]-Audit[[#This Row],[Candidate 12]], "")</f>
        <v/>
      </c>
      <c r="AQ342" s="114">
        <f>SUMIF(Audit[[#This Row],[Difference Winner]:[Difference Candidate 12]], "&gt;0")</f>
        <v>0</v>
      </c>
      <c r="AR342" s="114">
        <f>SUM(Audit[[#This Row],[Difference Winner]:[Difference Candidate 12]])</f>
        <v>0</v>
      </c>
      <c r="AS342" s="114">
        <f>IF(Audit[[#This Row],[Times p Drawn - With Replacement]]&gt;0, IF(Audit[[#This Row],[Canceled Differences]]&lt;0, Audit[[#This Row],[Max Differences]]+ABS(Audit[[#This Row],[Canceled Differences]]), Audit[[#This Row],[Max Differences]]), 0)</f>
        <v>0</v>
      </c>
      <c r="AT342" s="114">
        <f>'Sampling Data'!AB342</f>
        <v>1.169331900638392E-2</v>
      </c>
      <c r="AU342" s="114">
        <f>IF(
      SUM(Audit[[#This Row],[Audit Losing Candidate]:[Audit Candidate 12]])
      &lt;&gt;0,
      (Audit[[#This Row],[Winning Candidate]]-Audit[[#This Row],[Losing Candidate]]-(Audit[[#This Row],[Audit Winning Candidate]]-Audit[[#This Row],[Audit Losing Candidate]]))/(Audit[[#Totals],[Winning Candidate]]-Audit[[#Totals],[Losing Candidate]]),
      0
)</f>
        <v>0</v>
      </c>
      <c r="AV3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2" s="114">
        <f>IF(Audit[[#This Row],[Max Relative Error (ep)]] = 0, 0, Audit[[#This Row],[Max Relative Error (ep)]]/Audit[[#This Row],[Error Bound (up) - Max. possible relative overstatement]])</f>
        <v>0</v>
      </c>
      <c r="BH3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2" s="114">
        <f t="shared" si="6"/>
        <v>1</v>
      </c>
      <c r="BJ342" s="114">
        <f>PRODUCT($BI$5:BI342)</f>
        <v>7.4038944863463699E-2</v>
      </c>
      <c r="BK342" s="112">
        <f>1 - Audit[[#This Row],[K-M P Value]]</f>
        <v>0.92596105513653626</v>
      </c>
      <c r="BL342" s="114" t="str">
        <f>IF(Audit[[#This Row],[K-M P Value]]&gt;1-'General Info'!$B$12,"Continue", "Stop")</f>
        <v>Stop</v>
      </c>
      <c r="BM342" s="113" t="b">
        <f>IF(Audit[[#This Row],[Status - Continue or stop audit]] = "Continue", TRUE, IF(BL341 = "Continue", TRUE, FALSE))</f>
        <v>0</v>
      </c>
      <c r="BN342" s="113"/>
    </row>
    <row r="343" spans="1:66" ht="15" hidden="1" customHeight="1" x14ac:dyDescent="0.35">
      <c r="A343" s="114" t="str">
        <f>'Sampling Data'!AI343</f>
        <v/>
      </c>
      <c r="B343" s="114" t="str">
        <f>'Sampling Data'!A343</f>
        <v>2317 CIN 23-Q   (ED)</v>
      </c>
      <c r="C343" s="114">
        <f>'Sampling Data'!B343</f>
        <v>80</v>
      </c>
      <c r="D343" s="114">
        <f>'Sampling Data'!C343</f>
        <v>12</v>
      </c>
      <c r="E343" s="115">
        <f>'Sampling Data'!D343</f>
        <v>3</v>
      </c>
      <c r="F343" s="115">
        <f>'Sampling Data'!E343</f>
        <v>0</v>
      </c>
      <c r="G343" s="115">
        <f>'Sampling Data'!F343</f>
        <v>0</v>
      </c>
      <c r="H343" s="115">
        <f>'Sampling Data'!G343</f>
        <v>0</v>
      </c>
      <c r="I343" s="115">
        <f>'Sampling Data'!H343</f>
        <v>0</v>
      </c>
      <c r="J343" s="115">
        <f>'Sampling Data'!I343</f>
        <v>0</v>
      </c>
      <c r="K343" s="115">
        <f>'Sampling Data'!J343</f>
        <v>0</v>
      </c>
      <c r="L343" s="115">
        <f>'Sampling Data'!K343</f>
        <v>0</v>
      </c>
      <c r="M343" s="115">
        <f>'Sampling Data'!L343</f>
        <v>0</v>
      </c>
      <c r="N343" s="115">
        <f>'Sampling Data'!M343</f>
        <v>0</v>
      </c>
      <c r="O343" s="114">
        <f>'Sampling Data'!N343</f>
        <v>0</v>
      </c>
      <c r="P343" s="114">
        <f>'Sampling Data'!O343</f>
        <v>0</v>
      </c>
      <c r="Q343" s="114">
        <f>'Sampling Data'!P343</f>
        <v>95</v>
      </c>
      <c r="R343" s="114">
        <f>'Sampling Data'!AJ343</f>
        <v>0</v>
      </c>
      <c r="S343" s="116"/>
      <c r="T343" s="116"/>
      <c r="U343" s="117"/>
      <c r="V343" s="117"/>
      <c r="W343" s="116"/>
      <c r="X343" s="116"/>
      <c r="Y343" s="116"/>
      <c r="Z343" s="116"/>
      <c r="AA343" s="15"/>
      <c r="AB343" s="15"/>
      <c r="AC343" s="15"/>
      <c r="AD343" s="15"/>
      <c r="AE343" s="118" t="str">
        <f>IF(NOT(ISBLANK(Audit[[#This Row],[Audit Winning Candidate]])), Audit[[#This Row],[Audit Winning Candidate]]-Audit[[#This Row],[Winning Candidate]], "")</f>
        <v/>
      </c>
      <c r="AF343" s="114" t="str">
        <f>IF(NOT(ISBLANK(Audit[[#This Row],[Audit Losing Candidate]])), Audit[[#This Row],[Audit Losing Candidate]]-Audit[[#This Row],[Losing Candidate]], "")</f>
        <v/>
      </c>
      <c r="AG343" s="114" t="str">
        <f>IF(NOT(ISBLANK(Audit[[#This Row],[Audit Candidate 3]])), Audit[[#This Row],[Audit Candidate 3]]-Audit[[#This Row],[Candidate 3]], "")</f>
        <v/>
      </c>
      <c r="AH343" s="114" t="str">
        <f>IF(NOT(ISBLANK(Audit[[#This Row],[Audit Candidate 4]])),Audit[[#This Row],[Audit Candidate 4]]-Audit[[#This Row],[Candidate 4]], "")</f>
        <v/>
      </c>
      <c r="AI343" s="114" t="str">
        <f>IF(NOT(ISBLANK(Audit[[#This Row],[Audit Candidate 5]])), Audit[[#This Row],[Audit Candidate 5]]-Audit[[#This Row],[Candidate 5]], "")</f>
        <v/>
      </c>
      <c r="AJ343" s="114" t="str">
        <f>IF(NOT(ISBLANK(Audit[[#This Row],[Audit Candidate 6]])), Audit[[#This Row],[Audit Candidate 6]]-Audit[[#This Row],[Candidate 6]], "")</f>
        <v/>
      </c>
      <c r="AK343" s="114" t="str">
        <f>IF(NOT(ISBLANK(Audit[[#This Row],[Audit Candidate 7]])), Audit[[#This Row],[Audit Candidate 7]]-Audit[[#This Row],[Candidate 7]], "")</f>
        <v/>
      </c>
      <c r="AL343" s="114" t="str">
        <f>IF(NOT(ISBLANK(Audit[[#This Row],[Audit Candidate 8]])), Audit[[#This Row],[Audit Candidate 8]]-Audit[[#This Row],[Candidate 8]], "")</f>
        <v/>
      </c>
      <c r="AM343" s="114" t="str">
        <f>IF(NOT(ISBLANK(Audit[[#This Row],[Audit Candidate 9]])), Audit[[#This Row],[Audit Candidate 9]]-Audit[[#This Row],[Candidate 9]], "")</f>
        <v/>
      </c>
      <c r="AN343" s="114" t="str">
        <f>IF(NOT(ISBLANK(Audit[[#This Row],[Audit Candidate 10]])), Audit[[#This Row],[Audit Candidate 10]]-Audit[[#This Row],[Candidate 10]], "")</f>
        <v/>
      </c>
      <c r="AO343" s="114" t="str">
        <f>IF(NOT(ISBLANK(Audit[[#This Row],[Audit Candidate 11]])), Audit[[#This Row],[Audit Candidate 11]]-Audit[[#This Row],[Candidate 11]], "")</f>
        <v/>
      </c>
      <c r="AP343" s="114" t="str">
        <f>IF(NOT(ISBLANK(Audit[[#This Row],[Audit Candidate 12]])), Audit[[#This Row],[Audit Candidate 12]]-Audit[[#This Row],[Candidate 12]], "")</f>
        <v/>
      </c>
      <c r="AQ343" s="114">
        <f>SUMIF(Audit[[#This Row],[Difference Winner]:[Difference Candidate 12]], "&gt;0")</f>
        <v>0</v>
      </c>
      <c r="AR343" s="114">
        <f>SUM(Audit[[#This Row],[Difference Winner]:[Difference Candidate 12]])</f>
        <v>0</v>
      </c>
      <c r="AS343" s="114">
        <f>IF(Audit[[#This Row],[Times p Drawn - With Replacement]]&gt;0, IF(Audit[[#This Row],[Canceled Differences]]&lt;0, Audit[[#This Row],[Max Differences]]+ABS(Audit[[#This Row],[Canceled Differences]]), Audit[[#This Row],[Max Differences]]), 0)</f>
        <v>0</v>
      </c>
      <c r="AT343" s="114">
        <f>'Sampling Data'!AB343</f>
        <v>1.0302762151570697E-2</v>
      </c>
      <c r="AU343" s="114">
        <f>IF(
      SUM(Audit[[#This Row],[Audit Losing Candidate]:[Audit Candidate 12]])
      &lt;&gt;0,
      (Audit[[#This Row],[Winning Candidate]]-Audit[[#This Row],[Losing Candidate]]-(Audit[[#This Row],[Audit Winning Candidate]]-Audit[[#This Row],[Audit Losing Candidate]]))/(Audit[[#Totals],[Winning Candidate]]-Audit[[#Totals],[Losing Candidate]]),
      0
)</f>
        <v>0</v>
      </c>
      <c r="AV3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3" s="114">
        <f>IF(Audit[[#This Row],[Max Relative Error (ep)]] = 0, 0, Audit[[#This Row],[Max Relative Error (ep)]]/Audit[[#This Row],[Error Bound (up) - Max. possible relative overstatement]])</f>
        <v>0</v>
      </c>
      <c r="BH3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3" s="114">
        <f t="shared" si="6"/>
        <v>1</v>
      </c>
      <c r="BJ343" s="114">
        <f>PRODUCT($BI$5:BI343)</f>
        <v>7.4038944863463699E-2</v>
      </c>
      <c r="BK343" s="112">
        <f>1 - Audit[[#This Row],[K-M P Value]]</f>
        <v>0.92596105513653626</v>
      </c>
      <c r="BL343" s="114" t="str">
        <f>IF(Audit[[#This Row],[K-M P Value]]&gt;1-'General Info'!$B$12,"Continue", "Stop")</f>
        <v>Stop</v>
      </c>
      <c r="BM343" s="113" t="b">
        <f>IF(Audit[[#This Row],[Status - Continue or stop audit]] = "Continue", TRUE, IF(BL342 = "Continue", TRUE, FALSE))</f>
        <v>0</v>
      </c>
      <c r="BN343" s="113"/>
    </row>
    <row r="344" spans="1:66" ht="15" hidden="1" customHeight="1" x14ac:dyDescent="0.35">
      <c r="A344" s="114" t="str">
        <f>'Sampling Data'!AI344</f>
        <v/>
      </c>
      <c r="B344" s="114" t="str">
        <f>'Sampling Data'!A344</f>
        <v>2318 CIN 23-R   (ED)</v>
      </c>
      <c r="C344" s="114">
        <f>'Sampling Data'!B344</f>
        <v>66</v>
      </c>
      <c r="D344" s="114">
        <f>'Sampling Data'!C344</f>
        <v>6</v>
      </c>
      <c r="E344" s="115">
        <f>'Sampling Data'!D344</f>
        <v>0</v>
      </c>
      <c r="F344" s="115">
        <f>'Sampling Data'!E344</f>
        <v>0</v>
      </c>
      <c r="G344" s="115">
        <f>'Sampling Data'!F344</f>
        <v>0</v>
      </c>
      <c r="H344" s="115">
        <f>'Sampling Data'!G344</f>
        <v>0</v>
      </c>
      <c r="I344" s="115">
        <f>'Sampling Data'!H344</f>
        <v>0</v>
      </c>
      <c r="J344" s="115">
        <f>'Sampling Data'!I344</f>
        <v>0</v>
      </c>
      <c r="K344" s="115">
        <f>'Sampling Data'!J344</f>
        <v>0</v>
      </c>
      <c r="L344" s="115">
        <f>'Sampling Data'!K344</f>
        <v>0</v>
      </c>
      <c r="M344" s="115">
        <f>'Sampling Data'!L344</f>
        <v>0</v>
      </c>
      <c r="N344" s="115">
        <f>'Sampling Data'!M344</f>
        <v>0</v>
      </c>
      <c r="O344" s="114">
        <f>'Sampling Data'!N344</f>
        <v>0</v>
      </c>
      <c r="P344" s="114">
        <f>'Sampling Data'!O344</f>
        <v>1</v>
      </c>
      <c r="Q344" s="114">
        <f>'Sampling Data'!P344</f>
        <v>73</v>
      </c>
      <c r="R344" s="114">
        <f>'Sampling Data'!AJ344</f>
        <v>0</v>
      </c>
      <c r="S344" s="116"/>
      <c r="T344" s="116"/>
      <c r="U344" s="117"/>
      <c r="V344" s="117"/>
      <c r="W344" s="116"/>
      <c r="X344" s="116"/>
      <c r="Y344" s="116"/>
      <c r="Z344" s="116"/>
      <c r="AA344" s="15"/>
      <c r="AB344" s="15"/>
      <c r="AC344" s="15"/>
      <c r="AD344" s="15"/>
      <c r="AE344" s="118" t="str">
        <f>IF(NOT(ISBLANK(Audit[[#This Row],[Audit Winning Candidate]])), Audit[[#This Row],[Audit Winning Candidate]]-Audit[[#This Row],[Winning Candidate]], "")</f>
        <v/>
      </c>
      <c r="AF344" s="114" t="str">
        <f>IF(NOT(ISBLANK(Audit[[#This Row],[Audit Losing Candidate]])), Audit[[#This Row],[Audit Losing Candidate]]-Audit[[#This Row],[Losing Candidate]], "")</f>
        <v/>
      </c>
      <c r="AG344" s="114" t="str">
        <f>IF(NOT(ISBLANK(Audit[[#This Row],[Audit Candidate 3]])), Audit[[#This Row],[Audit Candidate 3]]-Audit[[#This Row],[Candidate 3]], "")</f>
        <v/>
      </c>
      <c r="AH344" s="114" t="str">
        <f>IF(NOT(ISBLANK(Audit[[#This Row],[Audit Candidate 4]])),Audit[[#This Row],[Audit Candidate 4]]-Audit[[#This Row],[Candidate 4]], "")</f>
        <v/>
      </c>
      <c r="AI344" s="114" t="str">
        <f>IF(NOT(ISBLANK(Audit[[#This Row],[Audit Candidate 5]])), Audit[[#This Row],[Audit Candidate 5]]-Audit[[#This Row],[Candidate 5]], "")</f>
        <v/>
      </c>
      <c r="AJ344" s="114" t="str">
        <f>IF(NOT(ISBLANK(Audit[[#This Row],[Audit Candidate 6]])), Audit[[#This Row],[Audit Candidate 6]]-Audit[[#This Row],[Candidate 6]], "")</f>
        <v/>
      </c>
      <c r="AK344" s="114" t="str">
        <f>IF(NOT(ISBLANK(Audit[[#This Row],[Audit Candidate 7]])), Audit[[#This Row],[Audit Candidate 7]]-Audit[[#This Row],[Candidate 7]], "")</f>
        <v/>
      </c>
      <c r="AL344" s="114" t="str">
        <f>IF(NOT(ISBLANK(Audit[[#This Row],[Audit Candidate 8]])), Audit[[#This Row],[Audit Candidate 8]]-Audit[[#This Row],[Candidate 8]], "")</f>
        <v/>
      </c>
      <c r="AM344" s="114" t="str">
        <f>IF(NOT(ISBLANK(Audit[[#This Row],[Audit Candidate 9]])), Audit[[#This Row],[Audit Candidate 9]]-Audit[[#This Row],[Candidate 9]], "")</f>
        <v/>
      </c>
      <c r="AN344" s="114" t="str">
        <f>IF(NOT(ISBLANK(Audit[[#This Row],[Audit Candidate 10]])), Audit[[#This Row],[Audit Candidate 10]]-Audit[[#This Row],[Candidate 10]], "")</f>
        <v/>
      </c>
      <c r="AO344" s="114" t="str">
        <f>IF(NOT(ISBLANK(Audit[[#This Row],[Audit Candidate 11]])), Audit[[#This Row],[Audit Candidate 11]]-Audit[[#This Row],[Candidate 11]], "")</f>
        <v/>
      </c>
      <c r="AP344" s="114" t="str">
        <f>IF(NOT(ISBLANK(Audit[[#This Row],[Audit Candidate 12]])), Audit[[#This Row],[Audit Candidate 12]]-Audit[[#This Row],[Candidate 12]], "")</f>
        <v/>
      </c>
      <c r="AQ344" s="114">
        <f>SUMIF(Audit[[#This Row],[Difference Winner]:[Difference Candidate 12]], "&gt;0")</f>
        <v>0</v>
      </c>
      <c r="AR344" s="114">
        <f>SUM(Audit[[#This Row],[Difference Winner]:[Difference Candidate 12]])</f>
        <v>0</v>
      </c>
      <c r="AS344" s="114">
        <f>IF(Audit[[#This Row],[Times p Drawn - With Replacement]]&gt;0, IF(Audit[[#This Row],[Canceled Differences]]&lt;0, Audit[[#This Row],[Max Differences]]+ABS(Audit[[#This Row],[Canceled Differences]]), Audit[[#This Row],[Max Differences]]), 0)</f>
        <v>0</v>
      </c>
      <c r="AT344" s="114">
        <f>'Sampling Data'!AB344</f>
        <v>8.4065482586435751E-3</v>
      </c>
      <c r="AU344" s="114">
        <f>IF(
      SUM(Audit[[#This Row],[Audit Losing Candidate]:[Audit Candidate 12]])
      &lt;&gt;0,
      (Audit[[#This Row],[Winning Candidate]]-Audit[[#This Row],[Losing Candidate]]-(Audit[[#This Row],[Audit Winning Candidate]]-Audit[[#This Row],[Audit Losing Candidate]]))/(Audit[[#Totals],[Winning Candidate]]-Audit[[#Totals],[Losing Candidate]]),
      0
)</f>
        <v>0</v>
      </c>
      <c r="AV3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4" s="114">
        <f>IF(Audit[[#This Row],[Max Relative Error (ep)]] = 0, 0, Audit[[#This Row],[Max Relative Error (ep)]]/Audit[[#This Row],[Error Bound (up) - Max. possible relative overstatement]])</f>
        <v>0</v>
      </c>
      <c r="BH3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4" s="114">
        <f t="shared" si="6"/>
        <v>1</v>
      </c>
      <c r="BJ344" s="114">
        <f>PRODUCT($BI$5:BI344)</f>
        <v>7.4038944863463699E-2</v>
      </c>
      <c r="BK344" s="112">
        <f>1 - Audit[[#This Row],[K-M P Value]]</f>
        <v>0.92596105513653626</v>
      </c>
      <c r="BL344" s="114" t="str">
        <f>IF(Audit[[#This Row],[K-M P Value]]&gt;1-'General Info'!$B$12,"Continue", "Stop")</f>
        <v>Stop</v>
      </c>
      <c r="BM344" s="113" t="b">
        <f>IF(Audit[[#This Row],[Status - Continue or stop audit]] = "Continue", TRUE, IF(BL343 = "Continue", TRUE, FALSE))</f>
        <v>0</v>
      </c>
      <c r="BN344" s="113"/>
    </row>
    <row r="345" spans="1:66" ht="15" hidden="1" customHeight="1" x14ac:dyDescent="0.35">
      <c r="A345" s="114" t="str">
        <f>'Sampling Data'!AI345</f>
        <v/>
      </c>
      <c r="B345" s="114" t="str">
        <f>'Sampling Data'!A345</f>
        <v>2401 CIN 24-A   (ED)</v>
      </c>
      <c r="C345" s="114">
        <f>'Sampling Data'!B345</f>
        <v>125</v>
      </c>
      <c r="D345" s="114">
        <f>'Sampling Data'!C345</f>
        <v>6</v>
      </c>
      <c r="E345" s="115">
        <f>'Sampling Data'!D345</f>
        <v>3</v>
      </c>
      <c r="F345" s="115">
        <f>'Sampling Data'!E345</f>
        <v>0</v>
      </c>
      <c r="G345" s="115">
        <f>'Sampling Data'!F345</f>
        <v>0</v>
      </c>
      <c r="H345" s="115">
        <f>'Sampling Data'!G345</f>
        <v>0</v>
      </c>
      <c r="I345" s="115">
        <f>'Sampling Data'!H345</f>
        <v>0</v>
      </c>
      <c r="J345" s="115">
        <f>'Sampling Data'!I345</f>
        <v>0</v>
      </c>
      <c r="K345" s="115">
        <f>'Sampling Data'!J345</f>
        <v>0</v>
      </c>
      <c r="L345" s="115">
        <f>'Sampling Data'!K345</f>
        <v>0</v>
      </c>
      <c r="M345" s="115">
        <f>'Sampling Data'!L345</f>
        <v>0</v>
      </c>
      <c r="N345" s="115">
        <f>'Sampling Data'!M345</f>
        <v>0</v>
      </c>
      <c r="O345" s="114">
        <f>'Sampling Data'!N345</f>
        <v>0</v>
      </c>
      <c r="P345" s="114">
        <f>'Sampling Data'!O345</f>
        <v>0</v>
      </c>
      <c r="Q345" s="114">
        <f>'Sampling Data'!P345</f>
        <v>134</v>
      </c>
      <c r="R345" s="114">
        <f>'Sampling Data'!AJ345</f>
        <v>0</v>
      </c>
      <c r="S345" s="116"/>
      <c r="T345" s="116"/>
      <c r="U345" s="117"/>
      <c r="V345" s="117"/>
      <c r="W345" s="116"/>
      <c r="X345" s="116"/>
      <c r="Y345" s="116"/>
      <c r="Z345" s="116"/>
      <c r="AA345" s="15"/>
      <c r="AB345" s="15"/>
      <c r="AC345" s="15"/>
      <c r="AD345" s="15"/>
      <c r="AE345" s="118" t="str">
        <f>IF(NOT(ISBLANK(Audit[[#This Row],[Audit Winning Candidate]])), Audit[[#This Row],[Audit Winning Candidate]]-Audit[[#This Row],[Winning Candidate]], "")</f>
        <v/>
      </c>
      <c r="AF345" s="114" t="str">
        <f>IF(NOT(ISBLANK(Audit[[#This Row],[Audit Losing Candidate]])), Audit[[#This Row],[Audit Losing Candidate]]-Audit[[#This Row],[Losing Candidate]], "")</f>
        <v/>
      </c>
      <c r="AG345" s="114" t="str">
        <f>IF(NOT(ISBLANK(Audit[[#This Row],[Audit Candidate 3]])), Audit[[#This Row],[Audit Candidate 3]]-Audit[[#This Row],[Candidate 3]], "")</f>
        <v/>
      </c>
      <c r="AH345" s="114" t="str">
        <f>IF(NOT(ISBLANK(Audit[[#This Row],[Audit Candidate 4]])),Audit[[#This Row],[Audit Candidate 4]]-Audit[[#This Row],[Candidate 4]], "")</f>
        <v/>
      </c>
      <c r="AI345" s="114" t="str">
        <f>IF(NOT(ISBLANK(Audit[[#This Row],[Audit Candidate 5]])), Audit[[#This Row],[Audit Candidate 5]]-Audit[[#This Row],[Candidate 5]], "")</f>
        <v/>
      </c>
      <c r="AJ345" s="114" t="str">
        <f>IF(NOT(ISBLANK(Audit[[#This Row],[Audit Candidate 6]])), Audit[[#This Row],[Audit Candidate 6]]-Audit[[#This Row],[Candidate 6]], "")</f>
        <v/>
      </c>
      <c r="AK345" s="114" t="str">
        <f>IF(NOT(ISBLANK(Audit[[#This Row],[Audit Candidate 7]])), Audit[[#This Row],[Audit Candidate 7]]-Audit[[#This Row],[Candidate 7]], "")</f>
        <v/>
      </c>
      <c r="AL345" s="114" t="str">
        <f>IF(NOT(ISBLANK(Audit[[#This Row],[Audit Candidate 8]])), Audit[[#This Row],[Audit Candidate 8]]-Audit[[#This Row],[Candidate 8]], "")</f>
        <v/>
      </c>
      <c r="AM345" s="114" t="str">
        <f>IF(NOT(ISBLANK(Audit[[#This Row],[Audit Candidate 9]])), Audit[[#This Row],[Audit Candidate 9]]-Audit[[#This Row],[Candidate 9]], "")</f>
        <v/>
      </c>
      <c r="AN345" s="114" t="str">
        <f>IF(NOT(ISBLANK(Audit[[#This Row],[Audit Candidate 10]])), Audit[[#This Row],[Audit Candidate 10]]-Audit[[#This Row],[Candidate 10]], "")</f>
        <v/>
      </c>
      <c r="AO345" s="114" t="str">
        <f>IF(NOT(ISBLANK(Audit[[#This Row],[Audit Candidate 11]])), Audit[[#This Row],[Audit Candidate 11]]-Audit[[#This Row],[Candidate 11]], "")</f>
        <v/>
      </c>
      <c r="AP345" s="114" t="str">
        <f>IF(NOT(ISBLANK(Audit[[#This Row],[Audit Candidate 12]])), Audit[[#This Row],[Audit Candidate 12]]-Audit[[#This Row],[Candidate 12]], "")</f>
        <v/>
      </c>
      <c r="AQ345" s="114">
        <f>SUMIF(Audit[[#This Row],[Difference Winner]:[Difference Candidate 12]], "&gt;0")</f>
        <v>0</v>
      </c>
      <c r="AR345" s="114">
        <f>SUM(Audit[[#This Row],[Difference Winner]:[Difference Candidate 12]])</f>
        <v>0</v>
      </c>
      <c r="AS345" s="114">
        <f>IF(Audit[[#This Row],[Times p Drawn - With Replacement]]&gt;0, IF(Audit[[#This Row],[Canceled Differences]]&lt;0, Audit[[#This Row],[Max Differences]]+ABS(Audit[[#This Row],[Canceled Differences]]), Audit[[#This Row],[Max Differences]]), 0)</f>
        <v>0</v>
      </c>
      <c r="AT345" s="114">
        <f>'Sampling Data'!AB345</f>
        <v>1.5991403830352063E-2</v>
      </c>
      <c r="AU345" s="114">
        <f>IF(
      SUM(Audit[[#This Row],[Audit Losing Candidate]:[Audit Candidate 12]])
      &lt;&gt;0,
      (Audit[[#This Row],[Winning Candidate]]-Audit[[#This Row],[Losing Candidate]]-(Audit[[#This Row],[Audit Winning Candidate]]-Audit[[#This Row],[Audit Losing Candidate]]))/(Audit[[#Totals],[Winning Candidate]]-Audit[[#Totals],[Losing Candidate]]),
      0
)</f>
        <v>0</v>
      </c>
      <c r="AV3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5" s="114">
        <f>IF(Audit[[#This Row],[Max Relative Error (ep)]] = 0, 0, Audit[[#This Row],[Max Relative Error (ep)]]/Audit[[#This Row],[Error Bound (up) - Max. possible relative overstatement]])</f>
        <v>0</v>
      </c>
      <c r="BH3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5" s="114">
        <f t="shared" si="6"/>
        <v>1</v>
      </c>
      <c r="BJ345" s="114">
        <f>PRODUCT($BI$5:BI345)</f>
        <v>7.4038944863463699E-2</v>
      </c>
      <c r="BK345" s="112">
        <f>1 - Audit[[#This Row],[K-M P Value]]</f>
        <v>0.92596105513653626</v>
      </c>
      <c r="BL345" s="114" t="str">
        <f>IF(Audit[[#This Row],[K-M P Value]]&gt;1-'General Info'!$B$12,"Continue", "Stop")</f>
        <v>Stop</v>
      </c>
      <c r="BM345" s="113" t="b">
        <f>IF(Audit[[#This Row],[Status - Continue or stop audit]] = "Continue", TRUE, IF(BL344 = "Continue", TRUE, FALSE))</f>
        <v>0</v>
      </c>
      <c r="BN345" s="113"/>
    </row>
    <row r="346" spans="1:66" ht="15" hidden="1" customHeight="1" x14ac:dyDescent="0.35">
      <c r="A346" s="114" t="str">
        <f>'Sampling Data'!AI346</f>
        <v/>
      </c>
      <c r="B346" s="114" t="str">
        <f>'Sampling Data'!A346</f>
        <v>2402 CIN 24-B   (ED)</v>
      </c>
      <c r="C346" s="114">
        <f>'Sampling Data'!B346</f>
        <v>118</v>
      </c>
      <c r="D346" s="114">
        <f>'Sampling Data'!C346</f>
        <v>24</v>
      </c>
      <c r="E346" s="115">
        <f>'Sampling Data'!D346</f>
        <v>6</v>
      </c>
      <c r="F346" s="115">
        <f>'Sampling Data'!E346</f>
        <v>0</v>
      </c>
      <c r="G346" s="115">
        <f>'Sampling Data'!F346</f>
        <v>0</v>
      </c>
      <c r="H346" s="115">
        <f>'Sampling Data'!G346</f>
        <v>0</v>
      </c>
      <c r="I346" s="115">
        <f>'Sampling Data'!H346</f>
        <v>0</v>
      </c>
      <c r="J346" s="115">
        <f>'Sampling Data'!I346</f>
        <v>0</v>
      </c>
      <c r="K346" s="115">
        <f>'Sampling Data'!J346</f>
        <v>0</v>
      </c>
      <c r="L346" s="115">
        <f>'Sampling Data'!K346</f>
        <v>0</v>
      </c>
      <c r="M346" s="115">
        <f>'Sampling Data'!L346</f>
        <v>0</v>
      </c>
      <c r="N346" s="115">
        <f>'Sampling Data'!M346</f>
        <v>0</v>
      </c>
      <c r="O346" s="114">
        <f>'Sampling Data'!N346</f>
        <v>0</v>
      </c>
      <c r="P346" s="114">
        <f>'Sampling Data'!O346</f>
        <v>1</v>
      </c>
      <c r="Q346" s="114">
        <f>'Sampling Data'!P346</f>
        <v>149</v>
      </c>
      <c r="R346" s="114">
        <f>'Sampling Data'!AJ346</f>
        <v>0</v>
      </c>
      <c r="S346" s="116"/>
      <c r="T346" s="116"/>
      <c r="U346" s="117"/>
      <c r="V346" s="117"/>
      <c r="W346" s="116"/>
      <c r="X346" s="116"/>
      <c r="Y346" s="116"/>
      <c r="Z346" s="116"/>
      <c r="AA346" s="15"/>
      <c r="AB346" s="15"/>
      <c r="AC346" s="15"/>
      <c r="AD346" s="15"/>
      <c r="AE346" s="118" t="str">
        <f>IF(NOT(ISBLANK(Audit[[#This Row],[Audit Winning Candidate]])), Audit[[#This Row],[Audit Winning Candidate]]-Audit[[#This Row],[Winning Candidate]], "")</f>
        <v/>
      </c>
      <c r="AF346" s="114" t="str">
        <f>IF(NOT(ISBLANK(Audit[[#This Row],[Audit Losing Candidate]])), Audit[[#This Row],[Audit Losing Candidate]]-Audit[[#This Row],[Losing Candidate]], "")</f>
        <v/>
      </c>
      <c r="AG346" s="114" t="str">
        <f>IF(NOT(ISBLANK(Audit[[#This Row],[Audit Candidate 3]])), Audit[[#This Row],[Audit Candidate 3]]-Audit[[#This Row],[Candidate 3]], "")</f>
        <v/>
      </c>
      <c r="AH346" s="114" t="str">
        <f>IF(NOT(ISBLANK(Audit[[#This Row],[Audit Candidate 4]])),Audit[[#This Row],[Audit Candidate 4]]-Audit[[#This Row],[Candidate 4]], "")</f>
        <v/>
      </c>
      <c r="AI346" s="114" t="str">
        <f>IF(NOT(ISBLANK(Audit[[#This Row],[Audit Candidate 5]])), Audit[[#This Row],[Audit Candidate 5]]-Audit[[#This Row],[Candidate 5]], "")</f>
        <v/>
      </c>
      <c r="AJ346" s="114" t="str">
        <f>IF(NOT(ISBLANK(Audit[[#This Row],[Audit Candidate 6]])), Audit[[#This Row],[Audit Candidate 6]]-Audit[[#This Row],[Candidate 6]], "")</f>
        <v/>
      </c>
      <c r="AK346" s="114" t="str">
        <f>IF(NOT(ISBLANK(Audit[[#This Row],[Audit Candidate 7]])), Audit[[#This Row],[Audit Candidate 7]]-Audit[[#This Row],[Candidate 7]], "")</f>
        <v/>
      </c>
      <c r="AL346" s="114" t="str">
        <f>IF(NOT(ISBLANK(Audit[[#This Row],[Audit Candidate 8]])), Audit[[#This Row],[Audit Candidate 8]]-Audit[[#This Row],[Candidate 8]], "")</f>
        <v/>
      </c>
      <c r="AM346" s="114" t="str">
        <f>IF(NOT(ISBLANK(Audit[[#This Row],[Audit Candidate 9]])), Audit[[#This Row],[Audit Candidate 9]]-Audit[[#This Row],[Candidate 9]], "")</f>
        <v/>
      </c>
      <c r="AN346" s="114" t="str">
        <f>IF(NOT(ISBLANK(Audit[[#This Row],[Audit Candidate 10]])), Audit[[#This Row],[Audit Candidate 10]]-Audit[[#This Row],[Candidate 10]], "")</f>
        <v/>
      </c>
      <c r="AO346" s="114" t="str">
        <f>IF(NOT(ISBLANK(Audit[[#This Row],[Audit Candidate 11]])), Audit[[#This Row],[Audit Candidate 11]]-Audit[[#This Row],[Candidate 11]], "")</f>
        <v/>
      </c>
      <c r="AP346" s="114" t="str">
        <f>IF(NOT(ISBLANK(Audit[[#This Row],[Audit Candidate 12]])), Audit[[#This Row],[Audit Candidate 12]]-Audit[[#This Row],[Candidate 12]], "")</f>
        <v/>
      </c>
      <c r="AQ346" s="114">
        <f>SUMIF(Audit[[#This Row],[Difference Winner]:[Difference Candidate 12]], "&gt;0")</f>
        <v>0</v>
      </c>
      <c r="AR346" s="114">
        <f>SUM(Audit[[#This Row],[Difference Winner]:[Difference Candidate 12]])</f>
        <v>0</v>
      </c>
      <c r="AS346" s="114">
        <f>IF(Audit[[#This Row],[Times p Drawn - With Replacement]]&gt;0, IF(Audit[[#This Row],[Canceled Differences]]&lt;0, Audit[[#This Row],[Max Differences]]+ABS(Audit[[#This Row],[Canceled Differences]]), Audit[[#This Row],[Max Differences]]), 0)</f>
        <v>0</v>
      </c>
      <c r="AT346" s="114">
        <f>'Sampling Data'!AB346</f>
        <v>1.535933253270969E-2</v>
      </c>
      <c r="AU346" s="114">
        <f>IF(
      SUM(Audit[[#This Row],[Audit Losing Candidate]:[Audit Candidate 12]])
      &lt;&gt;0,
      (Audit[[#This Row],[Winning Candidate]]-Audit[[#This Row],[Losing Candidate]]-(Audit[[#This Row],[Audit Winning Candidate]]-Audit[[#This Row],[Audit Losing Candidate]]))/(Audit[[#Totals],[Winning Candidate]]-Audit[[#Totals],[Losing Candidate]]),
      0
)</f>
        <v>0</v>
      </c>
      <c r="AV3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6" s="114">
        <f>IF(Audit[[#This Row],[Max Relative Error (ep)]] = 0, 0, Audit[[#This Row],[Max Relative Error (ep)]]/Audit[[#This Row],[Error Bound (up) - Max. possible relative overstatement]])</f>
        <v>0</v>
      </c>
      <c r="BH3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6" s="114">
        <f t="shared" si="6"/>
        <v>1</v>
      </c>
      <c r="BJ346" s="114">
        <f>PRODUCT($BI$5:BI346)</f>
        <v>7.4038944863463699E-2</v>
      </c>
      <c r="BK346" s="112">
        <f>1 - Audit[[#This Row],[K-M P Value]]</f>
        <v>0.92596105513653626</v>
      </c>
      <c r="BL346" s="114" t="str">
        <f>IF(Audit[[#This Row],[K-M P Value]]&gt;1-'General Info'!$B$12,"Continue", "Stop")</f>
        <v>Stop</v>
      </c>
      <c r="BM346" s="113" t="b">
        <f>IF(Audit[[#This Row],[Status - Continue or stop audit]] = "Continue", TRUE, IF(BL345 = "Continue", TRUE, FALSE))</f>
        <v>0</v>
      </c>
      <c r="BN346" s="113"/>
    </row>
    <row r="347" spans="1:66" ht="15" hidden="1" customHeight="1" x14ac:dyDescent="0.35">
      <c r="A347" s="114" t="str">
        <f>'Sampling Data'!AI347</f>
        <v/>
      </c>
      <c r="B347" s="114" t="str">
        <f>'Sampling Data'!A347</f>
        <v>2403 CIN 24-C   (ED)</v>
      </c>
      <c r="C347" s="114">
        <f>'Sampling Data'!B347</f>
        <v>36</v>
      </c>
      <c r="D347" s="114">
        <f>'Sampling Data'!C347</f>
        <v>3</v>
      </c>
      <c r="E347" s="115">
        <f>'Sampling Data'!D347</f>
        <v>0</v>
      </c>
      <c r="F347" s="115">
        <f>'Sampling Data'!E347</f>
        <v>0</v>
      </c>
      <c r="G347" s="115">
        <f>'Sampling Data'!F347</f>
        <v>0</v>
      </c>
      <c r="H347" s="115">
        <f>'Sampling Data'!G347</f>
        <v>0</v>
      </c>
      <c r="I347" s="115">
        <f>'Sampling Data'!H347</f>
        <v>0</v>
      </c>
      <c r="J347" s="115">
        <f>'Sampling Data'!I347</f>
        <v>0</v>
      </c>
      <c r="K347" s="115">
        <f>'Sampling Data'!J347</f>
        <v>0</v>
      </c>
      <c r="L347" s="115">
        <f>'Sampling Data'!K347</f>
        <v>0</v>
      </c>
      <c r="M347" s="115">
        <f>'Sampling Data'!L347</f>
        <v>0</v>
      </c>
      <c r="N347" s="115">
        <f>'Sampling Data'!M347</f>
        <v>0</v>
      </c>
      <c r="O347" s="114">
        <f>'Sampling Data'!N347</f>
        <v>0</v>
      </c>
      <c r="P347" s="114">
        <f>'Sampling Data'!O347</f>
        <v>0</v>
      </c>
      <c r="Q347" s="114">
        <f>'Sampling Data'!P347</f>
        <v>39</v>
      </c>
      <c r="R347" s="114">
        <f>'Sampling Data'!AJ347</f>
        <v>0</v>
      </c>
      <c r="S347" s="116"/>
      <c r="T347" s="116"/>
      <c r="U347" s="117"/>
      <c r="V347" s="117"/>
      <c r="W347" s="116"/>
      <c r="X347" s="116"/>
      <c r="Y347" s="116"/>
      <c r="Z347" s="116"/>
      <c r="AA347" s="15"/>
      <c r="AB347" s="15"/>
      <c r="AC347" s="15"/>
      <c r="AD347" s="15"/>
      <c r="AE347" s="118" t="str">
        <f>IF(NOT(ISBLANK(Audit[[#This Row],[Audit Winning Candidate]])), Audit[[#This Row],[Audit Winning Candidate]]-Audit[[#This Row],[Winning Candidate]], "")</f>
        <v/>
      </c>
      <c r="AF347" s="114" t="str">
        <f>IF(NOT(ISBLANK(Audit[[#This Row],[Audit Losing Candidate]])), Audit[[#This Row],[Audit Losing Candidate]]-Audit[[#This Row],[Losing Candidate]], "")</f>
        <v/>
      </c>
      <c r="AG347" s="114" t="str">
        <f>IF(NOT(ISBLANK(Audit[[#This Row],[Audit Candidate 3]])), Audit[[#This Row],[Audit Candidate 3]]-Audit[[#This Row],[Candidate 3]], "")</f>
        <v/>
      </c>
      <c r="AH347" s="114" t="str">
        <f>IF(NOT(ISBLANK(Audit[[#This Row],[Audit Candidate 4]])),Audit[[#This Row],[Audit Candidate 4]]-Audit[[#This Row],[Candidate 4]], "")</f>
        <v/>
      </c>
      <c r="AI347" s="114" t="str">
        <f>IF(NOT(ISBLANK(Audit[[#This Row],[Audit Candidate 5]])), Audit[[#This Row],[Audit Candidate 5]]-Audit[[#This Row],[Candidate 5]], "")</f>
        <v/>
      </c>
      <c r="AJ347" s="114" t="str">
        <f>IF(NOT(ISBLANK(Audit[[#This Row],[Audit Candidate 6]])), Audit[[#This Row],[Audit Candidate 6]]-Audit[[#This Row],[Candidate 6]], "")</f>
        <v/>
      </c>
      <c r="AK347" s="114" t="str">
        <f>IF(NOT(ISBLANK(Audit[[#This Row],[Audit Candidate 7]])), Audit[[#This Row],[Audit Candidate 7]]-Audit[[#This Row],[Candidate 7]], "")</f>
        <v/>
      </c>
      <c r="AL347" s="114" t="str">
        <f>IF(NOT(ISBLANK(Audit[[#This Row],[Audit Candidate 8]])), Audit[[#This Row],[Audit Candidate 8]]-Audit[[#This Row],[Candidate 8]], "")</f>
        <v/>
      </c>
      <c r="AM347" s="114" t="str">
        <f>IF(NOT(ISBLANK(Audit[[#This Row],[Audit Candidate 9]])), Audit[[#This Row],[Audit Candidate 9]]-Audit[[#This Row],[Candidate 9]], "")</f>
        <v/>
      </c>
      <c r="AN347" s="114" t="str">
        <f>IF(NOT(ISBLANK(Audit[[#This Row],[Audit Candidate 10]])), Audit[[#This Row],[Audit Candidate 10]]-Audit[[#This Row],[Candidate 10]], "")</f>
        <v/>
      </c>
      <c r="AO347" s="114" t="str">
        <f>IF(NOT(ISBLANK(Audit[[#This Row],[Audit Candidate 11]])), Audit[[#This Row],[Audit Candidate 11]]-Audit[[#This Row],[Candidate 11]], "")</f>
        <v/>
      </c>
      <c r="AP347" s="114" t="str">
        <f>IF(NOT(ISBLANK(Audit[[#This Row],[Audit Candidate 12]])), Audit[[#This Row],[Audit Candidate 12]]-Audit[[#This Row],[Candidate 12]], "")</f>
        <v/>
      </c>
      <c r="AQ347" s="114">
        <f>SUMIF(Audit[[#This Row],[Difference Winner]:[Difference Candidate 12]], "&gt;0")</f>
        <v>0</v>
      </c>
      <c r="AR347" s="114">
        <f>SUM(Audit[[#This Row],[Difference Winner]:[Difference Candidate 12]])</f>
        <v>0</v>
      </c>
      <c r="AS347" s="114">
        <f>IF(Audit[[#This Row],[Times p Drawn - With Replacement]]&gt;0, IF(Audit[[#This Row],[Canceled Differences]]&lt;0, Audit[[#This Row],[Max Differences]]+ABS(Audit[[#This Row],[Canceled Differences]]), Audit[[#This Row],[Max Differences]]), 0)</f>
        <v>0</v>
      </c>
      <c r="AT347" s="114">
        <f>'Sampling Data'!AB347</f>
        <v>4.5509133430250929E-3</v>
      </c>
      <c r="AU347" s="114">
        <f>IF(
      SUM(Audit[[#This Row],[Audit Losing Candidate]:[Audit Candidate 12]])
      &lt;&gt;0,
      (Audit[[#This Row],[Winning Candidate]]-Audit[[#This Row],[Losing Candidate]]-(Audit[[#This Row],[Audit Winning Candidate]]-Audit[[#This Row],[Audit Losing Candidate]]))/(Audit[[#Totals],[Winning Candidate]]-Audit[[#Totals],[Losing Candidate]]),
      0
)</f>
        <v>0</v>
      </c>
      <c r="AV3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7" s="114">
        <f>IF(Audit[[#This Row],[Max Relative Error (ep)]] = 0, 0, Audit[[#This Row],[Max Relative Error (ep)]]/Audit[[#This Row],[Error Bound (up) - Max. possible relative overstatement]])</f>
        <v>0</v>
      </c>
      <c r="BH3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7" s="114">
        <f t="shared" si="6"/>
        <v>1</v>
      </c>
      <c r="BJ347" s="114">
        <f>PRODUCT($BI$5:BI347)</f>
        <v>7.4038944863463699E-2</v>
      </c>
      <c r="BK347" s="112">
        <f>1 - Audit[[#This Row],[K-M P Value]]</f>
        <v>0.92596105513653626</v>
      </c>
      <c r="BL347" s="114" t="str">
        <f>IF(Audit[[#This Row],[K-M P Value]]&gt;1-'General Info'!$B$12,"Continue", "Stop")</f>
        <v>Stop</v>
      </c>
      <c r="BM347" s="113" t="b">
        <f>IF(Audit[[#This Row],[Status - Continue or stop audit]] = "Continue", TRUE, IF(BL346 = "Continue", TRUE, FALSE))</f>
        <v>0</v>
      </c>
      <c r="BN347" s="113"/>
    </row>
    <row r="348" spans="1:66" ht="15" hidden="1" customHeight="1" x14ac:dyDescent="0.35">
      <c r="A348" s="114" t="str">
        <f>'Sampling Data'!AI348</f>
        <v/>
      </c>
      <c r="B348" s="114" t="str">
        <f>'Sampling Data'!A348</f>
        <v>2404 CIN 24-D   (ED)</v>
      </c>
      <c r="C348" s="114">
        <f>'Sampling Data'!B348</f>
        <v>59</v>
      </c>
      <c r="D348" s="114">
        <f>'Sampling Data'!C348</f>
        <v>17</v>
      </c>
      <c r="E348" s="115">
        <f>'Sampling Data'!D348</f>
        <v>1</v>
      </c>
      <c r="F348" s="115">
        <f>'Sampling Data'!E348</f>
        <v>0</v>
      </c>
      <c r="G348" s="115">
        <f>'Sampling Data'!F348</f>
        <v>0</v>
      </c>
      <c r="H348" s="115">
        <f>'Sampling Data'!G348</f>
        <v>0</v>
      </c>
      <c r="I348" s="115">
        <f>'Sampling Data'!H348</f>
        <v>0</v>
      </c>
      <c r="J348" s="115">
        <f>'Sampling Data'!I348</f>
        <v>0</v>
      </c>
      <c r="K348" s="115">
        <f>'Sampling Data'!J348</f>
        <v>0</v>
      </c>
      <c r="L348" s="115">
        <f>'Sampling Data'!K348</f>
        <v>0</v>
      </c>
      <c r="M348" s="115">
        <f>'Sampling Data'!L348</f>
        <v>0</v>
      </c>
      <c r="N348" s="115">
        <f>'Sampling Data'!M348</f>
        <v>0</v>
      </c>
      <c r="O348" s="114">
        <f>'Sampling Data'!N348</f>
        <v>0</v>
      </c>
      <c r="P348" s="114">
        <f>'Sampling Data'!O348</f>
        <v>0</v>
      </c>
      <c r="Q348" s="114">
        <f>'Sampling Data'!P348</f>
        <v>77</v>
      </c>
      <c r="R348" s="114">
        <f>'Sampling Data'!AJ348</f>
        <v>0</v>
      </c>
      <c r="S348" s="116"/>
      <c r="T348" s="116"/>
      <c r="U348" s="117"/>
      <c r="V348" s="117"/>
      <c r="W348" s="116"/>
      <c r="X348" s="116"/>
      <c r="Y348" s="116"/>
      <c r="Z348" s="116"/>
      <c r="AA348" s="15"/>
      <c r="AB348" s="15"/>
      <c r="AC348" s="15"/>
      <c r="AD348" s="15"/>
      <c r="AE348" s="118" t="str">
        <f>IF(NOT(ISBLANK(Audit[[#This Row],[Audit Winning Candidate]])), Audit[[#This Row],[Audit Winning Candidate]]-Audit[[#This Row],[Winning Candidate]], "")</f>
        <v/>
      </c>
      <c r="AF348" s="114" t="str">
        <f>IF(NOT(ISBLANK(Audit[[#This Row],[Audit Losing Candidate]])), Audit[[#This Row],[Audit Losing Candidate]]-Audit[[#This Row],[Losing Candidate]], "")</f>
        <v/>
      </c>
      <c r="AG348" s="114" t="str">
        <f>IF(NOT(ISBLANK(Audit[[#This Row],[Audit Candidate 3]])), Audit[[#This Row],[Audit Candidate 3]]-Audit[[#This Row],[Candidate 3]], "")</f>
        <v/>
      </c>
      <c r="AH348" s="114" t="str">
        <f>IF(NOT(ISBLANK(Audit[[#This Row],[Audit Candidate 4]])),Audit[[#This Row],[Audit Candidate 4]]-Audit[[#This Row],[Candidate 4]], "")</f>
        <v/>
      </c>
      <c r="AI348" s="114" t="str">
        <f>IF(NOT(ISBLANK(Audit[[#This Row],[Audit Candidate 5]])), Audit[[#This Row],[Audit Candidate 5]]-Audit[[#This Row],[Candidate 5]], "")</f>
        <v/>
      </c>
      <c r="AJ348" s="114" t="str">
        <f>IF(NOT(ISBLANK(Audit[[#This Row],[Audit Candidate 6]])), Audit[[#This Row],[Audit Candidate 6]]-Audit[[#This Row],[Candidate 6]], "")</f>
        <v/>
      </c>
      <c r="AK348" s="114" t="str">
        <f>IF(NOT(ISBLANK(Audit[[#This Row],[Audit Candidate 7]])), Audit[[#This Row],[Audit Candidate 7]]-Audit[[#This Row],[Candidate 7]], "")</f>
        <v/>
      </c>
      <c r="AL348" s="114" t="str">
        <f>IF(NOT(ISBLANK(Audit[[#This Row],[Audit Candidate 8]])), Audit[[#This Row],[Audit Candidate 8]]-Audit[[#This Row],[Candidate 8]], "")</f>
        <v/>
      </c>
      <c r="AM348" s="114" t="str">
        <f>IF(NOT(ISBLANK(Audit[[#This Row],[Audit Candidate 9]])), Audit[[#This Row],[Audit Candidate 9]]-Audit[[#This Row],[Candidate 9]], "")</f>
        <v/>
      </c>
      <c r="AN348" s="114" t="str">
        <f>IF(NOT(ISBLANK(Audit[[#This Row],[Audit Candidate 10]])), Audit[[#This Row],[Audit Candidate 10]]-Audit[[#This Row],[Candidate 10]], "")</f>
        <v/>
      </c>
      <c r="AO348" s="114" t="str">
        <f>IF(NOT(ISBLANK(Audit[[#This Row],[Audit Candidate 11]])), Audit[[#This Row],[Audit Candidate 11]]-Audit[[#This Row],[Candidate 11]], "")</f>
        <v/>
      </c>
      <c r="AP348" s="114" t="str">
        <f>IF(NOT(ISBLANK(Audit[[#This Row],[Audit Candidate 12]])), Audit[[#This Row],[Audit Candidate 12]]-Audit[[#This Row],[Candidate 12]], "")</f>
        <v/>
      </c>
      <c r="AQ348" s="114">
        <f>SUMIF(Audit[[#This Row],[Difference Winner]:[Difference Candidate 12]], "&gt;0")</f>
        <v>0</v>
      </c>
      <c r="AR348" s="114">
        <f>SUM(Audit[[#This Row],[Difference Winner]:[Difference Candidate 12]])</f>
        <v>0</v>
      </c>
      <c r="AS348" s="114">
        <f>IF(Audit[[#This Row],[Times p Drawn - With Replacement]]&gt;0, IF(Audit[[#This Row],[Canceled Differences]]&lt;0, Audit[[#This Row],[Max Differences]]+ABS(Audit[[#This Row],[Canceled Differences]]), Audit[[#This Row],[Max Differences]]), 0)</f>
        <v>0</v>
      </c>
      <c r="AT348" s="114">
        <f>'Sampling Data'!AB348</f>
        <v>7.6202303002935196E-3</v>
      </c>
      <c r="AU348" s="114">
        <f>IF(
      SUM(Audit[[#This Row],[Audit Losing Candidate]:[Audit Candidate 12]])
      &lt;&gt;0,
      (Audit[[#This Row],[Winning Candidate]]-Audit[[#This Row],[Losing Candidate]]-(Audit[[#This Row],[Audit Winning Candidate]]-Audit[[#This Row],[Audit Losing Candidate]]))/(Audit[[#Totals],[Winning Candidate]]-Audit[[#Totals],[Losing Candidate]]),
      0
)</f>
        <v>0</v>
      </c>
      <c r="AV3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8" s="114">
        <f>IF(Audit[[#This Row],[Max Relative Error (ep)]] = 0, 0, Audit[[#This Row],[Max Relative Error (ep)]]/Audit[[#This Row],[Error Bound (up) - Max. possible relative overstatement]])</f>
        <v>0</v>
      </c>
      <c r="BH3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8" s="114">
        <f t="shared" si="6"/>
        <v>1</v>
      </c>
      <c r="BJ348" s="114">
        <f>PRODUCT($BI$5:BI348)</f>
        <v>7.4038944863463699E-2</v>
      </c>
      <c r="BK348" s="112">
        <f>1 - Audit[[#This Row],[K-M P Value]]</f>
        <v>0.92596105513653626</v>
      </c>
      <c r="BL348" s="114" t="str">
        <f>IF(Audit[[#This Row],[K-M P Value]]&gt;1-'General Info'!$B$12,"Continue", "Stop")</f>
        <v>Stop</v>
      </c>
      <c r="BM348" s="113" t="b">
        <f>IF(Audit[[#This Row],[Status - Continue or stop audit]] = "Continue", TRUE, IF(BL347 = "Continue", TRUE, FALSE))</f>
        <v>0</v>
      </c>
      <c r="BN348" s="113"/>
    </row>
    <row r="349" spans="1:66" ht="15" hidden="1" customHeight="1" x14ac:dyDescent="0.35">
      <c r="A349" s="114" t="str">
        <f>'Sampling Data'!AI349</f>
        <v/>
      </c>
      <c r="B349" s="114" t="str">
        <f>'Sampling Data'!A349</f>
        <v>2405 CIN 24-E   (ED)</v>
      </c>
      <c r="C349" s="114">
        <f>'Sampling Data'!B349</f>
        <v>14</v>
      </c>
      <c r="D349" s="114">
        <f>'Sampling Data'!C349</f>
        <v>1</v>
      </c>
      <c r="E349" s="115">
        <f>'Sampling Data'!D349</f>
        <v>0</v>
      </c>
      <c r="F349" s="115">
        <f>'Sampling Data'!E349</f>
        <v>0</v>
      </c>
      <c r="G349" s="115">
        <f>'Sampling Data'!F349</f>
        <v>0</v>
      </c>
      <c r="H349" s="115">
        <f>'Sampling Data'!G349</f>
        <v>0</v>
      </c>
      <c r="I349" s="115">
        <f>'Sampling Data'!H349</f>
        <v>0</v>
      </c>
      <c r="J349" s="115">
        <f>'Sampling Data'!I349</f>
        <v>0</v>
      </c>
      <c r="K349" s="115">
        <f>'Sampling Data'!J349</f>
        <v>0</v>
      </c>
      <c r="L349" s="115">
        <f>'Sampling Data'!K349</f>
        <v>0</v>
      </c>
      <c r="M349" s="115">
        <f>'Sampling Data'!L349</f>
        <v>0</v>
      </c>
      <c r="N349" s="115">
        <f>'Sampling Data'!M349</f>
        <v>0</v>
      </c>
      <c r="O349" s="114">
        <f>'Sampling Data'!N349</f>
        <v>0</v>
      </c>
      <c r="P349" s="114">
        <f>'Sampling Data'!O349</f>
        <v>0</v>
      </c>
      <c r="Q349" s="114">
        <f>'Sampling Data'!P349</f>
        <v>15</v>
      </c>
      <c r="R349" s="114">
        <f>'Sampling Data'!AJ349</f>
        <v>0</v>
      </c>
      <c r="S349" s="116"/>
      <c r="T349" s="116"/>
      <c r="U349" s="117"/>
      <c r="V349" s="117"/>
      <c r="W349" s="116"/>
      <c r="X349" s="116"/>
      <c r="Y349" s="116"/>
      <c r="Z349" s="116"/>
      <c r="AA349" s="15"/>
      <c r="AB349" s="15"/>
      <c r="AC349" s="15"/>
      <c r="AD349" s="15"/>
      <c r="AE349" s="118" t="str">
        <f>IF(NOT(ISBLANK(Audit[[#This Row],[Audit Winning Candidate]])), Audit[[#This Row],[Audit Winning Candidate]]-Audit[[#This Row],[Winning Candidate]], "")</f>
        <v/>
      </c>
      <c r="AF349" s="114" t="str">
        <f>IF(NOT(ISBLANK(Audit[[#This Row],[Audit Losing Candidate]])), Audit[[#This Row],[Audit Losing Candidate]]-Audit[[#This Row],[Losing Candidate]], "")</f>
        <v/>
      </c>
      <c r="AG349" s="114" t="str">
        <f>IF(NOT(ISBLANK(Audit[[#This Row],[Audit Candidate 3]])), Audit[[#This Row],[Audit Candidate 3]]-Audit[[#This Row],[Candidate 3]], "")</f>
        <v/>
      </c>
      <c r="AH349" s="114" t="str">
        <f>IF(NOT(ISBLANK(Audit[[#This Row],[Audit Candidate 4]])),Audit[[#This Row],[Audit Candidate 4]]-Audit[[#This Row],[Candidate 4]], "")</f>
        <v/>
      </c>
      <c r="AI349" s="114" t="str">
        <f>IF(NOT(ISBLANK(Audit[[#This Row],[Audit Candidate 5]])), Audit[[#This Row],[Audit Candidate 5]]-Audit[[#This Row],[Candidate 5]], "")</f>
        <v/>
      </c>
      <c r="AJ349" s="114" t="str">
        <f>IF(NOT(ISBLANK(Audit[[#This Row],[Audit Candidate 6]])), Audit[[#This Row],[Audit Candidate 6]]-Audit[[#This Row],[Candidate 6]], "")</f>
        <v/>
      </c>
      <c r="AK349" s="114" t="str">
        <f>IF(NOT(ISBLANK(Audit[[#This Row],[Audit Candidate 7]])), Audit[[#This Row],[Audit Candidate 7]]-Audit[[#This Row],[Candidate 7]], "")</f>
        <v/>
      </c>
      <c r="AL349" s="114" t="str">
        <f>IF(NOT(ISBLANK(Audit[[#This Row],[Audit Candidate 8]])), Audit[[#This Row],[Audit Candidate 8]]-Audit[[#This Row],[Candidate 8]], "")</f>
        <v/>
      </c>
      <c r="AM349" s="114" t="str">
        <f>IF(NOT(ISBLANK(Audit[[#This Row],[Audit Candidate 9]])), Audit[[#This Row],[Audit Candidate 9]]-Audit[[#This Row],[Candidate 9]], "")</f>
        <v/>
      </c>
      <c r="AN349" s="114" t="str">
        <f>IF(NOT(ISBLANK(Audit[[#This Row],[Audit Candidate 10]])), Audit[[#This Row],[Audit Candidate 10]]-Audit[[#This Row],[Candidate 10]], "")</f>
        <v/>
      </c>
      <c r="AO349" s="114" t="str">
        <f>IF(NOT(ISBLANK(Audit[[#This Row],[Audit Candidate 11]])), Audit[[#This Row],[Audit Candidate 11]]-Audit[[#This Row],[Candidate 11]], "")</f>
        <v/>
      </c>
      <c r="AP349" s="114" t="str">
        <f>IF(NOT(ISBLANK(Audit[[#This Row],[Audit Candidate 12]])), Audit[[#This Row],[Audit Candidate 12]]-Audit[[#This Row],[Candidate 12]], "")</f>
        <v/>
      </c>
      <c r="AQ349" s="114">
        <f>SUMIF(Audit[[#This Row],[Difference Winner]:[Difference Candidate 12]], "&gt;0")</f>
        <v>0</v>
      </c>
      <c r="AR349" s="114">
        <f>SUM(Audit[[#This Row],[Difference Winner]:[Difference Candidate 12]])</f>
        <v>0</v>
      </c>
      <c r="AS349" s="114">
        <f>IF(Audit[[#This Row],[Times p Drawn - With Replacement]]&gt;0, IF(Audit[[#This Row],[Canceled Differences]]&lt;0, Audit[[#This Row],[Max Differences]]+ABS(Audit[[#This Row],[Canceled Differences]]), Audit[[#This Row],[Max Differences]]), 0)</f>
        <v>0</v>
      </c>
      <c r="AT349" s="114">
        <f>'Sampling Data'!AB349</f>
        <v>1.7697996333986474E-3</v>
      </c>
      <c r="AU349" s="114">
        <f>IF(
      SUM(Audit[[#This Row],[Audit Losing Candidate]:[Audit Candidate 12]])
      &lt;&gt;0,
      (Audit[[#This Row],[Winning Candidate]]-Audit[[#This Row],[Losing Candidate]]-(Audit[[#This Row],[Audit Winning Candidate]]-Audit[[#This Row],[Audit Losing Candidate]]))/(Audit[[#Totals],[Winning Candidate]]-Audit[[#Totals],[Losing Candidate]]),
      0
)</f>
        <v>0</v>
      </c>
      <c r="AV3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9" s="114">
        <f>IF(Audit[[#This Row],[Max Relative Error (ep)]] = 0, 0, Audit[[#This Row],[Max Relative Error (ep)]]/Audit[[#This Row],[Error Bound (up) - Max. possible relative overstatement]])</f>
        <v>0</v>
      </c>
      <c r="BH3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49" s="114">
        <f t="shared" si="6"/>
        <v>1</v>
      </c>
      <c r="BJ349" s="114">
        <f>PRODUCT($BI$5:BI349)</f>
        <v>7.4038944863463699E-2</v>
      </c>
      <c r="BK349" s="112">
        <f>1 - Audit[[#This Row],[K-M P Value]]</f>
        <v>0.92596105513653626</v>
      </c>
      <c r="BL349" s="114" t="str">
        <f>IF(Audit[[#This Row],[K-M P Value]]&gt;1-'General Info'!$B$12,"Continue", "Stop")</f>
        <v>Stop</v>
      </c>
      <c r="BM349" s="113" t="b">
        <f>IF(Audit[[#This Row],[Status - Continue or stop audit]] = "Continue", TRUE, IF(BL348 = "Continue", TRUE, FALSE))</f>
        <v>0</v>
      </c>
      <c r="BN349" s="113"/>
    </row>
    <row r="350" spans="1:66" ht="15" hidden="1" customHeight="1" x14ac:dyDescent="0.35">
      <c r="A350" s="114" t="str">
        <f>'Sampling Data'!AI350</f>
        <v/>
      </c>
      <c r="B350" s="114" t="str">
        <f>'Sampling Data'!A350</f>
        <v>2406 CIN 24-F   (ED)</v>
      </c>
      <c r="C350" s="114">
        <f>'Sampling Data'!B350</f>
        <v>46</v>
      </c>
      <c r="D350" s="114">
        <f>'Sampling Data'!C350</f>
        <v>6</v>
      </c>
      <c r="E350" s="115">
        <f>'Sampling Data'!D350</f>
        <v>1</v>
      </c>
      <c r="F350" s="115">
        <f>'Sampling Data'!E350</f>
        <v>0</v>
      </c>
      <c r="G350" s="115">
        <f>'Sampling Data'!F350</f>
        <v>0</v>
      </c>
      <c r="H350" s="115">
        <f>'Sampling Data'!G350</f>
        <v>0</v>
      </c>
      <c r="I350" s="115">
        <f>'Sampling Data'!H350</f>
        <v>0</v>
      </c>
      <c r="J350" s="115">
        <f>'Sampling Data'!I350</f>
        <v>0</v>
      </c>
      <c r="K350" s="115">
        <f>'Sampling Data'!J350</f>
        <v>0</v>
      </c>
      <c r="L350" s="115">
        <f>'Sampling Data'!K350</f>
        <v>0</v>
      </c>
      <c r="M350" s="115">
        <f>'Sampling Data'!L350</f>
        <v>0</v>
      </c>
      <c r="N350" s="115">
        <f>'Sampling Data'!M350</f>
        <v>0</v>
      </c>
      <c r="O350" s="114">
        <f>'Sampling Data'!N350</f>
        <v>0</v>
      </c>
      <c r="P350" s="114">
        <f>'Sampling Data'!O350</f>
        <v>0</v>
      </c>
      <c r="Q350" s="114">
        <f>'Sampling Data'!P350</f>
        <v>53</v>
      </c>
      <c r="R350" s="114">
        <f>'Sampling Data'!AJ350</f>
        <v>0</v>
      </c>
      <c r="S350" s="116"/>
      <c r="T350" s="116"/>
      <c r="U350" s="117"/>
      <c r="V350" s="117"/>
      <c r="W350" s="116"/>
      <c r="X350" s="116"/>
      <c r="Y350" s="116"/>
      <c r="Z350" s="116"/>
      <c r="AA350" s="15"/>
      <c r="AB350" s="15"/>
      <c r="AC350" s="15"/>
      <c r="AD350" s="15"/>
      <c r="AE350" s="118" t="str">
        <f>IF(NOT(ISBLANK(Audit[[#This Row],[Audit Winning Candidate]])), Audit[[#This Row],[Audit Winning Candidate]]-Audit[[#This Row],[Winning Candidate]], "")</f>
        <v/>
      </c>
      <c r="AF350" s="114" t="str">
        <f>IF(NOT(ISBLANK(Audit[[#This Row],[Audit Losing Candidate]])), Audit[[#This Row],[Audit Losing Candidate]]-Audit[[#This Row],[Losing Candidate]], "")</f>
        <v/>
      </c>
      <c r="AG350" s="114" t="str">
        <f>IF(NOT(ISBLANK(Audit[[#This Row],[Audit Candidate 3]])), Audit[[#This Row],[Audit Candidate 3]]-Audit[[#This Row],[Candidate 3]], "")</f>
        <v/>
      </c>
      <c r="AH350" s="114" t="str">
        <f>IF(NOT(ISBLANK(Audit[[#This Row],[Audit Candidate 4]])),Audit[[#This Row],[Audit Candidate 4]]-Audit[[#This Row],[Candidate 4]], "")</f>
        <v/>
      </c>
      <c r="AI350" s="114" t="str">
        <f>IF(NOT(ISBLANK(Audit[[#This Row],[Audit Candidate 5]])), Audit[[#This Row],[Audit Candidate 5]]-Audit[[#This Row],[Candidate 5]], "")</f>
        <v/>
      </c>
      <c r="AJ350" s="114" t="str">
        <f>IF(NOT(ISBLANK(Audit[[#This Row],[Audit Candidate 6]])), Audit[[#This Row],[Audit Candidate 6]]-Audit[[#This Row],[Candidate 6]], "")</f>
        <v/>
      </c>
      <c r="AK350" s="114" t="str">
        <f>IF(NOT(ISBLANK(Audit[[#This Row],[Audit Candidate 7]])), Audit[[#This Row],[Audit Candidate 7]]-Audit[[#This Row],[Candidate 7]], "")</f>
        <v/>
      </c>
      <c r="AL350" s="114" t="str">
        <f>IF(NOT(ISBLANK(Audit[[#This Row],[Audit Candidate 8]])), Audit[[#This Row],[Audit Candidate 8]]-Audit[[#This Row],[Candidate 8]], "")</f>
        <v/>
      </c>
      <c r="AM350" s="114" t="str">
        <f>IF(NOT(ISBLANK(Audit[[#This Row],[Audit Candidate 9]])), Audit[[#This Row],[Audit Candidate 9]]-Audit[[#This Row],[Candidate 9]], "")</f>
        <v/>
      </c>
      <c r="AN350" s="114" t="str">
        <f>IF(NOT(ISBLANK(Audit[[#This Row],[Audit Candidate 10]])), Audit[[#This Row],[Audit Candidate 10]]-Audit[[#This Row],[Candidate 10]], "")</f>
        <v/>
      </c>
      <c r="AO350" s="114" t="str">
        <f>IF(NOT(ISBLANK(Audit[[#This Row],[Audit Candidate 11]])), Audit[[#This Row],[Audit Candidate 11]]-Audit[[#This Row],[Candidate 11]], "")</f>
        <v/>
      </c>
      <c r="AP350" s="114" t="str">
        <f>IF(NOT(ISBLANK(Audit[[#This Row],[Audit Candidate 12]])), Audit[[#This Row],[Audit Candidate 12]]-Audit[[#This Row],[Candidate 12]], "")</f>
        <v/>
      </c>
      <c r="AQ350" s="114">
        <f>SUMIF(Audit[[#This Row],[Difference Winner]:[Difference Candidate 12]], "&gt;0")</f>
        <v>0</v>
      </c>
      <c r="AR350" s="114">
        <f>SUM(Audit[[#This Row],[Difference Winner]:[Difference Candidate 12]])</f>
        <v>0</v>
      </c>
      <c r="AS350" s="114">
        <f>IF(Audit[[#This Row],[Times p Drawn - With Replacement]]&gt;0, IF(Audit[[#This Row],[Canceled Differences]]&lt;0, Audit[[#This Row],[Max Differences]]+ABS(Audit[[#This Row],[Canceled Differences]]), Audit[[#This Row],[Max Differences]]), 0)</f>
        <v>0</v>
      </c>
      <c r="AT350" s="114">
        <f>'Sampling Data'!AB350</f>
        <v>5.8782630680740784E-3</v>
      </c>
      <c r="AU350" s="114">
        <f>IF(
      SUM(Audit[[#This Row],[Audit Losing Candidate]:[Audit Candidate 12]])
      &lt;&gt;0,
      (Audit[[#This Row],[Winning Candidate]]-Audit[[#This Row],[Losing Candidate]]-(Audit[[#This Row],[Audit Winning Candidate]]-Audit[[#This Row],[Audit Losing Candidate]]))/(Audit[[#Totals],[Winning Candidate]]-Audit[[#Totals],[Losing Candidate]]),
      0
)</f>
        <v>0</v>
      </c>
      <c r="AV3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0" s="114">
        <f>IF(Audit[[#This Row],[Max Relative Error (ep)]] = 0, 0, Audit[[#This Row],[Max Relative Error (ep)]]/Audit[[#This Row],[Error Bound (up) - Max. possible relative overstatement]])</f>
        <v>0</v>
      </c>
      <c r="BH3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0" s="114">
        <f t="shared" si="6"/>
        <v>1</v>
      </c>
      <c r="BJ350" s="114">
        <f>PRODUCT($BI$5:BI350)</f>
        <v>7.4038944863463699E-2</v>
      </c>
      <c r="BK350" s="112">
        <f>1 - Audit[[#This Row],[K-M P Value]]</f>
        <v>0.92596105513653626</v>
      </c>
      <c r="BL350" s="114" t="str">
        <f>IF(Audit[[#This Row],[K-M P Value]]&gt;1-'General Info'!$B$12,"Continue", "Stop")</f>
        <v>Stop</v>
      </c>
      <c r="BM350" s="113" t="b">
        <f>IF(Audit[[#This Row],[Status - Continue or stop audit]] = "Continue", TRUE, IF(BL349 = "Continue", TRUE, FALSE))</f>
        <v>0</v>
      </c>
      <c r="BN350" s="113"/>
    </row>
    <row r="351" spans="1:66" ht="15" hidden="1" customHeight="1" x14ac:dyDescent="0.35">
      <c r="A351" s="114" t="str">
        <f>'Sampling Data'!AI351</f>
        <v/>
      </c>
      <c r="B351" s="114" t="str">
        <f>'Sampling Data'!A351</f>
        <v>2407 CIN 24-G   (ED)</v>
      </c>
      <c r="C351" s="114">
        <f>'Sampling Data'!B351</f>
        <v>64</v>
      </c>
      <c r="D351" s="114">
        <f>'Sampling Data'!C351</f>
        <v>26</v>
      </c>
      <c r="E351" s="115">
        <f>'Sampling Data'!D351</f>
        <v>4</v>
      </c>
      <c r="F351" s="115">
        <f>'Sampling Data'!E351</f>
        <v>0</v>
      </c>
      <c r="G351" s="115">
        <f>'Sampling Data'!F351</f>
        <v>0</v>
      </c>
      <c r="H351" s="115">
        <f>'Sampling Data'!G351</f>
        <v>0</v>
      </c>
      <c r="I351" s="115">
        <f>'Sampling Data'!H351</f>
        <v>0</v>
      </c>
      <c r="J351" s="115">
        <f>'Sampling Data'!I351</f>
        <v>0</v>
      </c>
      <c r="K351" s="115">
        <f>'Sampling Data'!J351</f>
        <v>0</v>
      </c>
      <c r="L351" s="115">
        <f>'Sampling Data'!K351</f>
        <v>0</v>
      </c>
      <c r="M351" s="115">
        <f>'Sampling Data'!L351</f>
        <v>0</v>
      </c>
      <c r="N351" s="115">
        <f>'Sampling Data'!M351</f>
        <v>0</v>
      </c>
      <c r="O351" s="114">
        <f>'Sampling Data'!N351</f>
        <v>0</v>
      </c>
      <c r="P351" s="114">
        <f>'Sampling Data'!O351</f>
        <v>0</v>
      </c>
      <c r="Q351" s="114">
        <f>'Sampling Data'!P351</f>
        <v>94</v>
      </c>
      <c r="R351" s="114">
        <f>'Sampling Data'!AJ351</f>
        <v>0</v>
      </c>
      <c r="S351" s="116"/>
      <c r="T351" s="116"/>
      <c r="U351" s="117"/>
      <c r="V351" s="117"/>
      <c r="W351" s="116"/>
      <c r="X351" s="116"/>
      <c r="Y351" s="116"/>
      <c r="Z351" s="116"/>
      <c r="AA351" s="15"/>
      <c r="AB351" s="15"/>
      <c r="AC351" s="15"/>
      <c r="AD351" s="15"/>
      <c r="AE351" s="118" t="str">
        <f>IF(NOT(ISBLANK(Audit[[#This Row],[Audit Winning Candidate]])), Audit[[#This Row],[Audit Winning Candidate]]-Audit[[#This Row],[Winning Candidate]], "")</f>
        <v/>
      </c>
      <c r="AF351" s="114" t="str">
        <f>IF(NOT(ISBLANK(Audit[[#This Row],[Audit Losing Candidate]])), Audit[[#This Row],[Audit Losing Candidate]]-Audit[[#This Row],[Losing Candidate]], "")</f>
        <v/>
      </c>
      <c r="AG351" s="114" t="str">
        <f>IF(NOT(ISBLANK(Audit[[#This Row],[Audit Candidate 3]])), Audit[[#This Row],[Audit Candidate 3]]-Audit[[#This Row],[Candidate 3]], "")</f>
        <v/>
      </c>
      <c r="AH351" s="114" t="str">
        <f>IF(NOT(ISBLANK(Audit[[#This Row],[Audit Candidate 4]])),Audit[[#This Row],[Audit Candidate 4]]-Audit[[#This Row],[Candidate 4]], "")</f>
        <v/>
      </c>
      <c r="AI351" s="114" t="str">
        <f>IF(NOT(ISBLANK(Audit[[#This Row],[Audit Candidate 5]])), Audit[[#This Row],[Audit Candidate 5]]-Audit[[#This Row],[Candidate 5]], "")</f>
        <v/>
      </c>
      <c r="AJ351" s="114" t="str">
        <f>IF(NOT(ISBLANK(Audit[[#This Row],[Audit Candidate 6]])), Audit[[#This Row],[Audit Candidate 6]]-Audit[[#This Row],[Candidate 6]], "")</f>
        <v/>
      </c>
      <c r="AK351" s="114" t="str">
        <f>IF(NOT(ISBLANK(Audit[[#This Row],[Audit Candidate 7]])), Audit[[#This Row],[Audit Candidate 7]]-Audit[[#This Row],[Candidate 7]], "")</f>
        <v/>
      </c>
      <c r="AL351" s="114" t="str">
        <f>IF(NOT(ISBLANK(Audit[[#This Row],[Audit Candidate 8]])), Audit[[#This Row],[Audit Candidate 8]]-Audit[[#This Row],[Candidate 8]], "")</f>
        <v/>
      </c>
      <c r="AM351" s="114" t="str">
        <f>IF(NOT(ISBLANK(Audit[[#This Row],[Audit Candidate 9]])), Audit[[#This Row],[Audit Candidate 9]]-Audit[[#This Row],[Candidate 9]], "")</f>
        <v/>
      </c>
      <c r="AN351" s="114" t="str">
        <f>IF(NOT(ISBLANK(Audit[[#This Row],[Audit Candidate 10]])), Audit[[#This Row],[Audit Candidate 10]]-Audit[[#This Row],[Candidate 10]], "")</f>
        <v/>
      </c>
      <c r="AO351" s="114" t="str">
        <f>IF(NOT(ISBLANK(Audit[[#This Row],[Audit Candidate 11]])), Audit[[#This Row],[Audit Candidate 11]]-Audit[[#This Row],[Candidate 11]], "")</f>
        <v/>
      </c>
      <c r="AP351" s="114" t="str">
        <f>IF(NOT(ISBLANK(Audit[[#This Row],[Audit Candidate 12]])), Audit[[#This Row],[Audit Candidate 12]]-Audit[[#This Row],[Candidate 12]], "")</f>
        <v/>
      </c>
      <c r="AQ351" s="114">
        <f>SUMIF(Audit[[#This Row],[Difference Winner]:[Difference Candidate 12]], "&gt;0")</f>
        <v>0</v>
      </c>
      <c r="AR351" s="114">
        <f>SUM(Audit[[#This Row],[Difference Winner]:[Difference Candidate 12]])</f>
        <v>0</v>
      </c>
      <c r="AS351" s="114">
        <f>IF(Audit[[#This Row],[Times p Drawn - With Replacement]]&gt;0, IF(Audit[[#This Row],[Canceled Differences]]&lt;0, Audit[[#This Row],[Max Differences]]+ABS(Audit[[#This Row],[Canceled Differences]]), Audit[[#This Row],[Max Differences]]), 0)</f>
        <v>0</v>
      </c>
      <c r="AT351" s="114">
        <f>'Sampling Data'!AB351</f>
        <v>8.6927071573718664E-3</v>
      </c>
      <c r="AU351" s="114">
        <f>IF(
      SUM(Audit[[#This Row],[Audit Losing Candidate]:[Audit Candidate 12]])
      &lt;&gt;0,
      (Audit[[#This Row],[Winning Candidate]]-Audit[[#This Row],[Losing Candidate]]-(Audit[[#This Row],[Audit Winning Candidate]]-Audit[[#This Row],[Audit Losing Candidate]]))/(Audit[[#Totals],[Winning Candidate]]-Audit[[#Totals],[Losing Candidate]]),
      0
)</f>
        <v>0</v>
      </c>
      <c r="AV3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1" s="114">
        <f>IF(Audit[[#This Row],[Max Relative Error (ep)]] = 0, 0, Audit[[#This Row],[Max Relative Error (ep)]]/Audit[[#This Row],[Error Bound (up) - Max. possible relative overstatement]])</f>
        <v>0</v>
      </c>
      <c r="BH3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1" s="114">
        <f t="shared" si="6"/>
        <v>1</v>
      </c>
      <c r="BJ351" s="114">
        <f>PRODUCT($BI$5:BI351)</f>
        <v>7.4038944863463699E-2</v>
      </c>
      <c r="BK351" s="112">
        <f>1 - Audit[[#This Row],[K-M P Value]]</f>
        <v>0.92596105513653626</v>
      </c>
      <c r="BL351" s="114" t="str">
        <f>IF(Audit[[#This Row],[K-M P Value]]&gt;1-'General Info'!$B$12,"Continue", "Stop")</f>
        <v>Stop</v>
      </c>
      <c r="BM351" s="113" t="b">
        <f>IF(Audit[[#This Row],[Status - Continue or stop audit]] = "Continue", TRUE, IF(BL350 = "Continue", TRUE, FALSE))</f>
        <v>0</v>
      </c>
      <c r="BN351" s="113"/>
    </row>
    <row r="352" spans="1:66" ht="15" hidden="1" customHeight="1" x14ac:dyDescent="0.35">
      <c r="A352" s="114" t="str">
        <f>'Sampling Data'!AI352</f>
        <v/>
      </c>
      <c r="B352" s="114" t="str">
        <f>'Sampling Data'!A352</f>
        <v>2408 CIN 24-H   (ED)</v>
      </c>
      <c r="C352" s="114">
        <f>'Sampling Data'!B352</f>
        <v>1</v>
      </c>
      <c r="D352" s="114">
        <f>'Sampling Data'!C352</f>
        <v>0</v>
      </c>
      <c r="E352" s="115">
        <f>'Sampling Data'!D352</f>
        <v>0</v>
      </c>
      <c r="F352" s="115">
        <f>'Sampling Data'!E352</f>
        <v>0</v>
      </c>
      <c r="G352" s="115">
        <f>'Sampling Data'!F352</f>
        <v>0</v>
      </c>
      <c r="H352" s="115">
        <f>'Sampling Data'!G352</f>
        <v>0</v>
      </c>
      <c r="I352" s="115">
        <f>'Sampling Data'!H352</f>
        <v>0</v>
      </c>
      <c r="J352" s="115">
        <f>'Sampling Data'!I352</f>
        <v>0</v>
      </c>
      <c r="K352" s="115">
        <f>'Sampling Data'!J352</f>
        <v>0</v>
      </c>
      <c r="L352" s="115">
        <f>'Sampling Data'!K352</f>
        <v>0</v>
      </c>
      <c r="M352" s="115">
        <f>'Sampling Data'!L352</f>
        <v>0</v>
      </c>
      <c r="N352" s="115">
        <f>'Sampling Data'!M352</f>
        <v>0</v>
      </c>
      <c r="O352" s="114">
        <f>'Sampling Data'!N352</f>
        <v>0</v>
      </c>
      <c r="P352" s="114">
        <f>'Sampling Data'!O352</f>
        <v>0</v>
      </c>
      <c r="Q352" s="114">
        <f>'Sampling Data'!P352</f>
        <v>1</v>
      </c>
      <c r="R352" s="114">
        <f>'Sampling Data'!AJ352</f>
        <v>0</v>
      </c>
      <c r="S352" s="116"/>
      <c r="T352" s="116"/>
      <c r="U352" s="117"/>
      <c r="V352" s="117"/>
      <c r="W352" s="116"/>
      <c r="X352" s="116"/>
      <c r="Y352" s="116"/>
      <c r="Z352" s="116"/>
      <c r="AA352" s="15"/>
      <c r="AB352" s="15"/>
      <c r="AC352" s="15"/>
      <c r="AD352" s="15"/>
      <c r="AE352" s="118" t="str">
        <f>IF(NOT(ISBLANK(Audit[[#This Row],[Audit Winning Candidate]])), Audit[[#This Row],[Audit Winning Candidate]]-Audit[[#This Row],[Winning Candidate]], "")</f>
        <v/>
      </c>
      <c r="AF352" s="114" t="str">
        <f>IF(NOT(ISBLANK(Audit[[#This Row],[Audit Losing Candidate]])), Audit[[#This Row],[Audit Losing Candidate]]-Audit[[#This Row],[Losing Candidate]], "")</f>
        <v/>
      </c>
      <c r="AG352" s="114" t="str">
        <f>IF(NOT(ISBLANK(Audit[[#This Row],[Audit Candidate 3]])), Audit[[#This Row],[Audit Candidate 3]]-Audit[[#This Row],[Candidate 3]], "")</f>
        <v/>
      </c>
      <c r="AH352" s="114" t="str">
        <f>IF(NOT(ISBLANK(Audit[[#This Row],[Audit Candidate 4]])),Audit[[#This Row],[Audit Candidate 4]]-Audit[[#This Row],[Candidate 4]], "")</f>
        <v/>
      </c>
      <c r="AI352" s="114" t="str">
        <f>IF(NOT(ISBLANK(Audit[[#This Row],[Audit Candidate 5]])), Audit[[#This Row],[Audit Candidate 5]]-Audit[[#This Row],[Candidate 5]], "")</f>
        <v/>
      </c>
      <c r="AJ352" s="114" t="str">
        <f>IF(NOT(ISBLANK(Audit[[#This Row],[Audit Candidate 6]])), Audit[[#This Row],[Audit Candidate 6]]-Audit[[#This Row],[Candidate 6]], "")</f>
        <v/>
      </c>
      <c r="AK352" s="114" t="str">
        <f>IF(NOT(ISBLANK(Audit[[#This Row],[Audit Candidate 7]])), Audit[[#This Row],[Audit Candidate 7]]-Audit[[#This Row],[Candidate 7]], "")</f>
        <v/>
      </c>
      <c r="AL352" s="114" t="str">
        <f>IF(NOT(ISBLANK(Audit[[#This Row],[Audit Candidate 8]])), Audit[[#This Row],[Audit Candidate 8]]-Audit[[#This Row],[Candidate 8]], "")</f>
        <v/>
      </c>
      <c r="AM352" s="114" t="str">
        <f>IF(NOT(ISBLANK(Audit[[#This Row],[Audit Candidate 9]])), Audit[[#This Row],[Audit Candidate 9]]-Audit[[#This Row],[Candidate 9]], "")</f>
        <v/>
      </c>
      <c r="AN352" s="114" t="str">
        <f>IF(NOT(ISBLANK(Audit[[#This Row],[Audit Candidate 10]])), Audit[[#This Row],[Audit Candidate 10]]-Audit[[#This Row],[Candidate 10]], "")</f>
        <v/>
      </c>
      <c r="AO352" s="114" t="str">
        <f>IF(NOT(ISBLANK(Audit[[#This Row],[Audit Candidate 11]])), Audit[[#This Row],[Audit Candidate 11]]-Audit[[#This Row],[Candidate 11]], "")</f>
        <v/>
      </c>
      <c r="AP352" s="114" t="str">
        <f>IF(NOT(ISBLANK(Audit[[#This Row],[Audit Candidate 12]])), Audit[[#This Row],[Audit Candidate 12]]-Audit[[#This Row],[Candidate 12]], "")</f>
        <v/>
      </c>
      <c r="AQ352" s="114">
        <f>SUMIF(Audit[[#This Row],[Difference Winner]:[Difference Candidate 12]], "&gt;0")</f>
        <v>0</v>
      </c>
      <c r="AR352" s="114">
        <f>SUM(Audit[[#This Row],[Difference Winner]:[Difference Candidate 12]])</f>
        <v>0</v>
      </c>
      <c r="AS352" s="114">
        <f>IF(Audit[[#This Row],[Times p Drawn - With Replacement]]&gt;0, IF(Audit[[#This Row],[Canceled Differences]]&lt;0, Audit[[#This Row],[Max Differences]]+ABS(Audit[[#This Row],[Canceled Differences]]), Audit[[#This Row],[Max Differences]]), 0)</f>
        <v>0</v>
      </c>
      <c r="AT352" s="114">
        <f>'Sampling Data'!AB352</f>
        <v>1.2641425952847481E-4</v>
      </c>
      <c r="AU352" s="114">
        <f>IF(
      SUM(Audit[[#This Row],[Audit Losing Candidate]:[Audit Candidate 12]])
      &lt;&gt;0,
      (Audit[[#This Row],[Winning Candidate]]-Audit[[#This Row],[Losing Candidate]]-(Audit[[#This Row],[Audit Winning Candidate]]-Audit[[#This Row],[Audit Losing Candidate]]))/(Audit[[#Totals],[Winning Candidate]]-Audit[[#Totals],[Losing Candidate]]),
      0
)</f>
        <v>0</v>
      </c>
      <c r="AV3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2" s="114">
        <f>IF(Audit[[#This Row],[Max Relative Error (ep)]] = 0, 0, Audit[[#This Row],[Max Relative Error (ep)]]/Audit[[#This Row],[Error Bound (up) - Max. possible relative overstatement]])</f>
        <v>0</v>
      </c>
      <c r="BH3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2" s="114">
        <f t="shared" si="6"/>
        <v>1</v>
      </c>
      <c r="BJ352" s="114">
        <f>PRODUCT($BI$5:BI352)</f>
        <v>7.4038944863463699E-2</v>
      </c>
      <c r="BK352" s="112">
        <f>1 - Audit[[#This Row],[K-M P Value]]</f>
        <v>0.92596105513653626</v>
      </c>
      <c r="BL352" s="114" t="str">
        <f>IF(Audit[[#This Row],[K-M P Value]]&gt;1-'General Info'!$B$12,"Continue", "Stop")</f>
        <v>Stop</v>
      </c>
      <c r="BM352" s="113" t="b">
        <f>IF(Audit[[#This Row],[Status - Continue or stop audit]] = "Continue", TRUE, IF(BL351 = "Continue", TRUE, FALSE))</f>
        <v>0</v>
      </c>
      <c r="BN352" s="113"/>
    </row>
    <row r="353" spans="1:66" ht="15" hidden="1" customHeight="1" x14ac:dyDescent="0.35">
      <c r="A353" s="114" t="str">
        <f>'Sampling Data'!AI353</f>
        <v/>
      </c>
      <c r="B353" s="114" t="str">
        <f>'Sampling Data'!A353</f>
        <v>2409 CIN 24-I   (ED)</v>
      </c>
      <c r="C353" s="114">
        <f>'Sampling Data'!B353</f>
        <v>8</v>
      </c>
      <c r="D353" s="114">
        <f>'Sampling Data'!C353</f>
        <v>1</v>
      </c>
      <c r="E353" s="115">
        <f>'Sampling Data'!D353</f>
        <v>0</v>
      </c>
      <c r="F353" s="115">
        <f>'Sampling Data'!E353</f>
        <v>0</v>
      </c>
      <c r="G353" s="115">
        <f>'Sampling Data'!F353</f>
        <v>0</v>
      </c>
      <c r="H353" s="115">
        <f>'Sampling Data'!G353</f>
        <v>0</v>
      </c>
      <c r="I353" s="115">
        <f>'Sampling Data'!H353</f>
        <v>0</v>
      </c>
      <c r="J353" s="115">
        <f>'Sampling Data'!I353</f>
        <v>0</v>
      </c>
      <c r="K353" s="115">
        <f>'Sampling Data'!J353</f>
        <v>0</v>
      </c>
      <c r="L353" s="115">
        <f>'Sampling Data'!K353</f>
        <v>0</v>
      </c>
      <c r="M353" s="115">
        <f>'Sampling Data'!L353</f>
        <v>0</v>
      </c>
      <c r="N353" s="115">
        <f>'Sampling Data'!M353</f>
        <v>0</v>
      </c>
      <c r="O353" s="114">
        <f>'Sampling Data'!N353</f>
        <v>0</v>
      </c>
      <c r="P353" s="114">
        <f>'Sampling Data'!O353</f>
        <v>0</v>
      </c>
      <c r="Q353" s="114">
        <f>'Sampling Data'!P353</f>
        <v>9</v>
      </c>
      <c r="R353" s="114">
        <f>'Sampling Data'!AJ353</f>
        <v>0</v>
      </c>
      <c r="S353" s="116"/>
      <c r="T353" s="116"/>
      <c r="U353" s="117"/>
      <c r="V353" s="117"/>
      <c r="W353" s="116"/>
      <c r="X353" s="116"/>
      <c r="Y353" s="116"/>
      <c r="Z353" s="116"/>
      <c r="AA353" s="15"/>
      <c r="AB353" s="15"/>
      <c r="AC353" s="15"/>
      <c r="AD353" s="15"/>
      <c r="AE353" s="118" t="str">
        <f>IF(NOT(ISBLANK(Audit[[#This Row],[Audit Winning Candidate]])), Audit[[#This Row],[Audit Winning Candidate]]-Audit[[#This Row],[Winning Candidate]], "")</f>
        <v/>
      </c>
      <c r="AF353" s="114" t="str">
        <f>IF(NOT(ISBLANK(Audit[[#This Row],[Audit Losing Candidate]])), Audit[[#This Row],[Audit Losing Candidate]]-Audit[[#This Row],[Losing Candidate]], "")</f>
        <v/>
      </c>
      <c r="AG353" s="114" t="str">
        <f>IF(NOT(ISBLANK(Audit[[#This Row],[Audit Candidate 3]])), Audit[[#This Row],[Audit Candidate 3]]-Audit[[#This Row],[Candidate 3]], "")</f>
        <v/>
      </c>
      <c r="AH353" s="114" t="str">
        <f>IF(NOT(ISBLANK(Audit[[#This Row],[Audit Candidate 4]])),Audit[[#This Row],[Audit Candidate 4]]-Audit[[#This Row],[Candidate 4]], "")</f>
        <v/>
      </c>
      <c r="AI353" s="114" t="str">
        <f>IF(NOT(ISBLANK(Audit[[#This Row],[Audit Candidate 5]])), Audit[[#This Row],[Audit Candidate 5]]-Audit[[#This Row],[Candidate 5]], "")</f>
        <v/>
      </c>
      <c r="AJ353" s="114" t="str">
        <f>IF(NOT(ISBLANK(Audit[[#This Row],[Audit Candidate 6]])), Audit[[#This Row],[Audit Candidate 6]]-Audit[[#This Row],[Candidate 6]], "")</f>
        <v/>
      </c>
      <c r="AK353" s="114" t="str">
        <f>IF(NOT(ISBLANK(Audit[[#This Row],[Audit Candidate 7]])), Audit[[#This Row],[Audit Candidate 7]]-Audit[[#This Row],[Candidate 7]], "")</f>
        <v/>
      </c>
      <c r="AL353" s="114" t="str">
        <f>IF(NOT(ISBLANK(Audit[[#This Row],[Audit Candidate 8]])), Audit[[#This Row],[Audit Candidate 8]]-Audit[[#This Row],[Candidate 8]], "")</f>
        <v/>
      </c>
      <c r="AM353" s="114" t="str">
        <f>IF(NOT(ISBLANK(Audit[[#This Row],[Audit Candidate 9]])), Audit[[#This Row],[Audit Candidate 9]]-Audit[[#This Row],[Candidate 9]], "")</f>
        <v/>
      </c>
      <c r="AN353" s="114" t="str">
        <f>IF(NOT(ISBLANK(Audit[[#This Row],[Audit Candidate 10]])), Audit[[#This Row],[Audit Candidate 10]]-Audit[[#This Row],[Candidate 10]], "")</f>
        <v/>
      </c>
      <c r="AO353" s="114" t="str">
        <f>IF(NOT(ISBLANK(Audit[[#This Row],[Audit Candidate 11]])), Audit[[#This Row],[Audit Candidate 11]]-Audit[[#This Row],[Candidate 11]], "")</f>
        <v/>
      </c>
      <c r="AP353" s="114" t="str">
        <f>IF(NOT(ISBLANK(Audit[[#This Row],[Audit Candidate 12]])), Audit[[#This Row],[Audit Candidate 12]]-Audit[[#This Row],[Candidate 12]], "")</f>
        <v/>
      </c>
      <c r="AQ353" s="114">
        <f>SUMIF(Audit[[#This Row],[Difference Winner]:[Difference Candidate 12]], "&gt;0")</f>
        <v>0</v>
      </c>
      <c r="AR353" s="114">
        <f>SUM(Audit[[#This Row],[Difference Winner]:[Difference Candidate 12]])</f>
        <v>0</v>
      </c>
      <c r="AS353" s="114">
        <f>IF(Audit[[#This Row],[Times p Drawn - With Replacement]]&gt;0, IF(Audit[[#This Row],[Canceled Differences]]&lt;0, Audit[[#This Row],[Max Differences]]+ABS(Audit[[#This Row],[Canceled Differences]]), Audit[[#This Row],[Max Differences]]), 0)</f>
        <v>0</v>
      </c>
      <c r="AT353" s="114">
        <f>'Sampling Data'!AB353</f>
        <v>1.0113140762277985E-3</v>
      </c>
      <c r="AU353" s="114">
        <f>IF(
      SUM(Audit[[#This Row],[Audit Losing Candidate]:[Audit Candidate 12]])
      &lt;&gt;0,
      (Audit[[#This Row],[Winning Candidate]]-Audit[[#This Row],[Losing Candidate]]-(Audit[[#This Row],[Audit Winning Candidate]]-Audit[[#This Row],[Audit Losing Candidate]]))/(Audit[[#Totals],[Winning Candidate]]-Audit[[#Totals],[Losing Candidate]]),
      0
)</f>
        <v>0</v>
      </c>
      <c r="AV3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3" s="114">
        <f>IF(Audit[[#This Row],[Max Relative Error (ep)]] = 0, 0, Audit[[#This Row],[Max Relative Error (ep)]]/Audit[[#This Row],[Error Bound (up) - Max. possible relative overstatement]])</f>
        <v>0</v>
      </c>
      <c r="BH3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3" s="114">
        <f t="shared" si="6"/>
        <v>1</v>
      </c>
      <c r="BJ353" s="114">
        <f>PRODUCT($BI$5:BI353)</f>
        <v>7.4038944863463699E-2</v>
      </c>
      <c r="BK353" s="112">
        <f>1 - Audit[[#This Row],[K-M P Value]]</f>
        <v>0.92596105513653626</v>
      </c>
      <c r="BL353" s="114" t="str">
        <f>IF(Audit[[#This Row],[K-M P Value]]&gt;1-'General Info'!$B$12,"Continue", "Stop")</f>
        <v>Stop</v>
      </c>
      <c r="BM353" s="113" t="b">
        <f>IF(Audit[[#This Row],[Status - Continue or stop audit]] = "Continue", TRUE, IF(BL352 = "Continue", TRUE, FALSE))</f>
        <v>0</v>
      </c>
      <c r="BN353" s="113"/>
    </row>
    <row r="354" spans="1:66" ht="15" hidden="1" customHeight="1" x14ac:dyDescent="0.35">
      <c r="A354" s="114" t="str">
        <f>'Sampling Data'!AI354</f>
        <v/>
      </c>
      <c r="B354" s="114" t="str">
        <f>'Sampling Data'!A354</f>
        <v>2501 CIN 25-A   (ED)</v>
      </c>
      <c r="C354" s="114">
        <f>'Sampling Data'!B354</f>
        <v>38</v>
      </c>
      <c r="D354" s="114">
        <f>'Sampling Data'!C354</f>
        <v>2</v>
      </c>
      <c r="E354" s="115">
        <f>'Sampling Data'!D354</f>
        <v>3</v>
      </c>
      <c r="F354" s="115">
        <f>'Sampling Data'!E354</f>
        <v>0</v>
      </c>
      <c r="G354" s="115">
        <f>'Sampling Data'!F354</f>
        <v>0</v>
      </c>
      <c r="H354" s="115">
        <f>'Sampling Data'!G354</f>
        <v>0</v>
      </c>
      <c r="I354" s="115">
        <f>'Sampling Data'!H354</f>
        <v>0</v>
      </c>
      <c r="J354" s="115">
        <f>'Sampling Data'!I354</f>
        <v>0</v>
      </c>
      <c r="K354" s="115">
        <f>'Sampling Data'!J354</f>
        <v>0</v>
      </c>
      <c r="L354" s="115">
        <f>'Sampling Data'!K354</f>
        <v>0</v>
      </c>
      <c r="M354" s="115">
        <f>'Sampling Data'!L354</f>
        <v>0</v>
      </c>
      <c r="N354" s="115">
        <f>'Sampling Data'!M354</f>
        <v>0</v>
      </c>
      <c r="O354" s="114">
        <f>'Sampling Data'!N354</f>
        <v>0</v>
      </c>
      <c r="P354" s="114">
        <f>'Sampling Data'!O354</f>
        <v>0</v>
      </c>
      <c r="Q354" s="114">
        <f>'Sampling Data'!P354</f>
        <v>43</v>
      </c>
      <c r="R354" s="114">
        <f>'Sampling Data'!AJ354</f>
        <v>0</v>
      </c>
      <c r="S354" s="116"/>
      <c r="T354" s="116"/>
      <c r="U354" s="117"/>
      <c r="V354" s="117"/>
      <c r="W354" s="116"/>
      <c r="X354" s="116"/>
      <c r="Y354" s="116"/>
      <c r="Z354" s="116"/>
      <c r="AA354" s="15"/>
      <c r="AB354" s="15"/>
      <c r="AC354" s="15"/>
      <c r="AD354" s="15"/>
      <c r="AE354" s="118" t="str">
        <f>IF(NOT(ISBLANK(Audit[[#This Row],[Audit Winning Candidate]])), Audit[[#This Row],[Audit Winning Candidate]]-Audit[[#This Row],[Winning Candidate]], "")</f>
        <v/>
      </c>
      <c r="AF354" s="114" t="str">
        <f>IF(NOT(ISBLANK(Audit[[#This Row],[Audit Losing Candidate]])), Audit[[#This Row],[Audit Losing Candidate]]-Audit[[#This Row],[Losing Candidate]], "")</f>
        <v/>
      </c>
      <c r="AG354" s="114" t="str">
        <f>IF(NOT(ISBLANK(Audit[[#This Row],[Audit Candidate 3]])), Audit[[#This Row],[Audit Candidate 3]]-Audit[[#This Row],[Candidate 3]], "")</f>
        <v/>
      </c>
      <c r="AH354" s="114" t="str">
        <f>IF(NOT(ISBLANK(Audit[[#This Row],[Audit Candidate 4]])),Audit[[#This Row],[Audit Candidate 4]]-Audit[[#This Row],[Candidate 4]], "")</f>
        <v/>
      </c>
      <c r="AI354" s="114" t="str">
        <f>IF(NOT(ISBLANK(Audit[[#This Row],[Audit Candidate 5]])), Audit[[#This Row],[Audit Candidate 5]]-Audit[[#This Row],[Candidate 5]], "")</f>
        <v/>
      </c>
      <c r="AJ354" s="114" t="str">
        <f>IF(NOT(ISBLANK(Audit[[#This Row],[Audit Candidate 6]])), Audit[[#This Row],[Audit Candidate 6]]-Audit[[#This Row],[Candidate 6]], "")</f>
        <v/>
      </c>
      <c r="AK354" s="114" t="str">
        <f>IF(NOT(ISBLANK(Audit[[#This Row],[Audit Candidate 7]])), Audit[[#This Row],[Audit Candidate 7]]-Audit[[#This Row],[Candidate 7]], "")</f>
        <v/>
      </c>
      <c r="AL354" s="114" t="str">
        <f>IF(NOT(ISBLANK(Audit[[#This Row],[Audit Candidate 8]])), Audit[[#This Row],[Audit Candidate 8]]-Audit[[#This Row],[Candidate 8]], "")</f>
        <v/>
      </c>
      <c r="AM354" s="114" t="str">
        <f>IF(NOT(ISBLANK(Audit[[#This Row],[Audit Candidate 9]])), Audit[[#This Row],[Audit Candidate 9]]-Audit[[#This Row],[Candidate 9]], "")</f>
        <v/>
      </c>
      <c r="AN354" s="114" t="str">
        <f>IF(NOT(ISBLANK(Audit[[#This Row],[Audit Candidate 10]])), Audit[[#This Row],[Audit Candidate 10]]-Audit[[#This Row],[Candidate 10]], "")</f>
        <v/>
      </c>
      <c r="AO354" s="114" t="str">
        <f>IF(NOT(ISBLANK(Audit[[#This Row],[Audit Candidate 11]])), Audit[[#This Row],[Audit Candidate 11]]-Audit[[#This Row],[Candidate 11]], "")</f>
        <v/>
      </c>
      <c r="AP354" s="114" t="str">
        <f>IF(NOT(ISBLANK(Audit[[#This Row],[Audit Candidate 12]])), Audit[[#This Row],[Audit Candidate 12]]-Audit[[#This Row],[Candidate 12]], "")</f>
        <v/>
      </c>
      <c r="AQ354" s="114">
        <f>SUMIF(Audit[[#This Row],[Difference Winner]:[Difference Candidate 12]], "&gt;0")</f>
        <v>0</v>
      </c>
      <c r="AR354" s="114">
        <f>SUM(Audit[[#This Row],[Difference Winner]:[Difference Candidate 12]])</f>
        <v>0</v>
      </c>
      <c r="AS354" s="114">
        <f>IF(Audit[[#This Row],[Times p Drawn - With Replacement]]&gt;0, IF(Audit[[#This Row],[Canceled Differences]]&lt;0, Audit[[#This Row],[Max Differences]]+ABS(Audit[[#This Row],[Canceled Differences]]), Audit[[#This Row],[Max Differences]]), 0)</f>
        <v>0</v>
      </c>
      <c r="AT354" s="114">
        <f>'Sampling Data'!AB354</f>
        <v>4.993363251374755E-3</v>
      </c>
      <c r="AU354" s="114">
        <f>IF(
      SUM(Audit[[#This Row],[Audit Losing Candidate]:[Audit Candidate 12]])
      &lt;&gt;0,
      (Audit[[#This Row],[Winning Candidate]]-Audit[[#This Row],[Losing Candidate]]-(Audit[[#This Row],[Audit Winning Candidate]]-Audit[[#This Row],[Audit Losing Candidate]]))/(Audit[[#Totals],[Winning Candidate]]-Audit[[#Totals],[Losing Candidate]]),
      0
)</f>
        <v>0</v>
      </c>
      <c r="AV3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4" s="114">
        <f>IF(Audit[[#This Row],[Max Relative Error (ep)]] = 0, 0, Audit[[#This Row],[Max Relative Error (ep)]]/Audit[[#This Row],[Error Bound (up) - Max. possible relative overstatement]])</f>
        <v>0</v>
      </c>
      <c r="BH3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4" s="114">
        <f t="shared" si="6"/>
        <v>1</v>
      </c>
      <c r="BJ354" s="114">
        <f>PRODUCT($BI$5:BI354)</f>
        <v>7.4038944863463699E-2</v>
      </c>
      <c r="BK354" s="112">
        <f>1 - Audit[[#This Row],[K-M P Value]]</f>
        <v>0.92596105513653626</v>
      </c>
      <c r="BL354" s="114" t="str">
        <f>IF(Audit[[#This Row],[K-M P Value]]&gt;1-'General Info'!$B$12,"Continue", "Stop")</f>
        <v>Stop</v>
      </c>
      <c r="BM354" s="113" t="b">
        <f>IF(Audit[[#This Row],[Status - Continue or stop audit]] = "Continue", TRUE, IF(BL353 = "Continue", TRUE, FALSE))</f>
        <v>0</v>
      </c>
      <c r="BN354" s="113"/>
    </row>
    <row r="355" spans="1:66" ht="15" hidden="1" customHeight="1" x14ac:dyDescent="0.35">
      <c r="A355" s="114" t="str">
        <f>'Sampling Data'!AI355</f>
        <v/>
      </c>
      <c r="B355" s="114" t="str">
        <f>'Sampling Data'!A355</f>
        <v>2502 CIN 25-B   (ED)</v>
      </c>
      <c r="C355" s="114">
        <f>'Sampling Data'!B355</f>
        <v>18</v>
      </c>
      <c r="D355" s="114">
        <f>'Sampling Data'!C355</f>
        <v>6</v>
      </c>
      <c r="E355" s="115">
        <f>'Sampling Data'!D355</f>
        <v>2</v>
      </c>
      <c r="F355" s="115">
        <f>'Sampling Data'!E355</f>
        <v>0</v>
      </c>
      <c r="G355" s="115">
        <f>'Sampling Data'!F355</f>
        <v>0</v>
      </c>
      <c r="H355" s="115">
        <f>'Sampling Data'!G355</f>
        <v>0</v>
      </c>
      <c r="I355" s="115">
        <f>'Sampling Data'!H355</f>
        <v>0</v>
      </c>
      <c r="J355" s="115">
        <f>'Sampling Data'!I355</f>
        <v>0</v>
      </c>
      <c r="K355" s="115">
        <f>'Sampling Data'!J355</f>
        <v>0</v>
      </c>
      <c r="L355" s="115">
        <f>'Sampling Data'!K355</f>
        <v>0</v>
      </c>
      <c r="M355" s="115">
        <f>'Sampling Data'!L355</f>
        <v>0</v>
      </c>
      <c r="N355" s="115">
        <f>'Sampling Data'!M355</f>
        <v>0</v>
      </c>
      <c r="O355" s="114">
        <f>'Sampling Data'!N355</f>
        <v>0</v>
      </c>
      <c r="P355" s="114">
        <f>'Sampling Data'!O355</f>
        <v>0</v>
      </c>
      <c r="Q355" s="114">
        <f>'Sampling Data'!P355</f>
        <v>26</v>
      </c>
      <c r="R355" s="114">
        <f>'Sampling Data'!AJ355</f>
        <v>0</v>
      </c>
      <c r="S355" s="116"/>
      <c r="T355" s="116"/>
      <c r="U355" s="117"/>
      <c r="V355" s="117"/>
      <c r="W355" s="116"/>
      <c r="X355" s="116"/>
      <c r="Y355" s="116"/>
      <c r="Z355" s="116"/>
      <c r="AA355" s="15"/>
      <c r="AB355" s="15"/>
      <c r="AC355" s="15"/>
      <c r="AD355" s="15"/>
      <c r="AE355" s="118" t="str">
        <f>IF(NOT(ISBLANK(Audit[[#This Row],[Audit Winning Candidate]])), Audit[[#This Row],[Audit Winning Candidate]]-Audit[[#This Row],[Winning Candidate]], "")</f>
        <v/>
      </c>
      <c r="AF355" s="114" t="str">
        <f>IF(NOT(ISBLANK(Audit[[#This Row],[Audit Losing Candidate]])), Audit[[#This Row],[Audit Losing Candidate]]-Audit[[#This Row],[Losing Candidate]], "")</f>
        <v/>
      </c>
      <c r="AG355" s="114" t="str">
        <f>IF(NOT(ISBLANK(Audit[[#This Row],[Audit Candidate 3]])), Audit[[#This Row],[Audit Candidate 3]]-Audit[[#This Row],[Candidate 3]], "")</f>
        <v/>
      </c>
      <c r="AH355" s="114" t="str">
        <f>IF(NOT(ISBLANK(Audit[[#This Row],[Audit Candidate 4]])),Audit[[#This Row],[Audit Candidate 4]]-Audit[[#This Row],[Candidate 4]], "")</f>
        <v/>
      </c>
      <c r="AI355" s="114" t="str">
        <f>IF(NOT(ISBLANK(Audit[[#This Row],[Audit Candidate 5]])), Audit[[#This Row],[Audit Candidate 5]]-Audit[[#This Row],[Candidate 5]], "")</f>
        <v/>
      </c>
      <c r="AJ355" s="114" t="str">
        <f>IF(NOT(ISBLANK(Audit[[#This Row],[Audit Candidate 6]])), Audit[[#This Row],[Audit Candidate 6]]-Audit[[#This Row],[Candidate 6]], "")</f>
        <v/>
      </c>
      <c r="AK355" s="114" t="str">
        <f>IF(NOT(ISBLANK(Audit[[#This Row],[Audit Candidate 7]])), Audit[[#This Row],[Audit Candidate 7]]-Audit[[#This Row],[Candidate 7]], "")</f>
        <v/>
      </c>
      <c r="AL355" s="114" t="str">
        <f>IF(NOT(ISBLANK(Audit[[#This Row],[Audit Candidate 8]])), Audit[[#This Row],[Audit Candidate 8]]-Audit[[#This Row],[Candidate 8]], "")</f>
        <v/>
      </c>
      <c r="AM355" s="114" t="str">
        <f>IF(NOT(ISBLANK(Audit[[#This Row],[Audit Candidate 9]])), Audit[[#This Row],[Audit Candidate 9]]-Audit[[#This Row],[Candidate 9]], "")</f>
        <v/>
      </c>
      <c r="AN355" s="114" t="str">
        <f>IF(NOT(ISBLANK(Audit[[#This Row],[Audit Candidate 10]])), Audit[[#This Row],[Audit Candidate 10]]-Audit[[#This Row],[Candidate 10]], "")</f>
        <v/>
      </c>
      <c r="AO355" s="114" t="str">
        <f>IF(NOT(ISBLANK(Audit[[#This Row],[Audit Candidate 11]])), Audit[[#This Row],[Audit Candidate 11]]-Audit[[#This Row],[Candidate 11]], "")</f>
        <v/>
      </c>
      <c r="AP355" s="114" t="str">
        <f>IF(NOT(ISBLANK(Audit[[#This Row],[Audit Candidate 12]])), Audit[[#This Row],[Audit Candidate 12]]-Audit[[#This Row],[Candidate 12]], "")</f>
        <v/>
      </c>
      <c r="AQ355" s="114">
        <f>SUMIF(Audit[[#This Row],[Difference Winner]:[Difference Candidate 12]], "&gt;0")</f>
        <v>0</v>
      </c>
      <c r="AR355" s="114">
        <f>SUM(Audit[[#This Row],[Difference Winner]:[Difference Candidate 12]])</f>
        <v>0</v>
      </c>
      <c r="AS355" s="114">
        <f>IF(Audit[[#This Row],[Times p Drawn - With Replacement]]&gt;0, IF(Audit[[#This Row],[Canceled Differences]]&lt;0, Audit[[#This Row],[Max Differences]]+ABS(Audit[[#This Row],[Canceled Differences]]), Audit[[#This Row],[Max Differences]]), 0)</f>
        <v>0</v>
      </c>
      <c r="AT355" s="114">
        <f>'Sampling Data'!AB355</f>
        <v>2.4018709310410216E-3</v>
      </c>
      <c r="AU355" s="114">
        <f>IF(
      SUM(Audit[[#This Row],[Audit Losing Candidate]:[Audit Candidate 12]])
      &lt;&gt;0,
      (Audit[[#This Row],[Winning Candidate]]-Audit[[#This Row],[Losing Candidate]]-(Audit[[#This Row],[Audit Winning Candidate]]-Audit[[#This Row],[Audit Losing Candidate]]))/(Audit[[#Totals],[Winning Candidate]]-Audit[[#Totals],[Losing Candidate]]),
      0
)</f>
        <v>0</v>
      </c>
      <c r="AV3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5" s="114">
        <f>IF(Audit[[#This Row],[Max Relative Error (ep)]] = 0, 0, Audit[[#This Row],[Max Relative Error (ep)]]/Audit[[#This Row],[Error Bound (up) - Max. possible relative overstatement]])</f>
        <v>0</v>
      </c>
      <c r="BH3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5" s="114">
        <f t="shared" si="6"/>
        <v>1</v>
      </c>
      <c r="BJ355" s="114">
        <f>PRODUCT($BI$5:BI355)</f>
        <v>7.4038944863463699E-2</v>
      </c>
      <c r="BK355" s="112">
        <f>1 - Audit[[#This Row],[K-M P Value]]</f>
        <v>0.92596105513653626</v>
      </c>
      <c r="BL355" s="114" t="str">
        <f>IF(Audit[[#This Row],[K-M P Value]]&gt;1-'General Info'!$B$12,"Continue", "Stop")</f>
        <v>Stop</v>
      </c>
      <c r="BM355" s="113" t="b">
        <f>IF(Audit[[#This Row],[Status - Continue or stop audit]] = "Continue", TRUE, IF(BL354 = "Continue", TRUE, FALSE))</f>
        <v>0</v>
      </c>
      <c r="BN355" s="113"/>
    </row>
    <row r="356" spans="1:66" ht="15" hidden="1" customHeight="1" x14ac:dyDescent="0.35">
      <c r="A356" s="114" t="str">
        <f>'Sampling Data'!AI356</f>
        <v/>
      </c>
      <c r="B356" s="114" t="str">
        <f>'Sampling Data'!A356</f>
        <v>2503 CIN 25-C   (ED)</v>
      </c>
      <c r="C356" s="114">
        <f>'Sampling Data'!B356</f>
        <v>77</v>
      </c>
      <c r="D356" s="114">
        <f>'Sampling Data'!C356</f>
        <v>39</v>
      </c>
      <c r="E356" s="115">
        <f>'Sampling Data'!D356</f>
        <v>11</v>
      </c>
      <c r="F356" s="115">
        <f>'Sampling Data'!E356</f>
        <v>0</v>
      </c>
      <c r="G356" s="115">
        <f>'Sampling Data'!F356</f>
        <v>0</v>
      </c>
      <c r="H356" s="115">
        <f>'Sampling Data'!G356</f>
        <v>0</v>
      </c>
      <c r="I356" s="115">
        <f>'Sampling Data'!H356</f>
        <v>0</v>
      </c>
      <c r="J356" s="115">
        <f>'Sampling Data'!I356</f>
        <v>0</v>
      </c>
      <c r="K356" s="115">
        <f>'Sampling Data'!J356</f>
        <v>0</v>
      </c>
      <c r="L356" s="115">
        <f>'Sampling Data'!K356</f>
        <v>0</v>
      </c>
      <c r="M356" s="115">
        <f>'Sampling Data'!L356</f>
        <v>0</v>
      </c>
      <c r="N356" s="115">
        <f>'Sampling Data'!M356</f>
        <v>0</v>
      </c>
      <c r="O356" s="114">
        <f>'Sampling Data'!N356</f>
        <v>0</v>
      </c>
      <c r="P356" s="114">
        <f>'Sampling Data'!O356</f>
        <v>0</v>
      </c>
      <c r="Q356" s="114">
        <f>'Sampling Data'!P356</f>
        <v>127</v>
      </c>
      <c r="R356" s="114">
        <f>'Sampling Data'!AJ356</f>
        <v>0</v>
      </c>
      <c r="S356" s="116"/>
      <c r="T356" s="116"/>
      <c r="U356" s="117"/>
      <c r="V356" s="117"/>
      <c r="W356" s="116"/>
      <c r="X356" s="116"/>
      <c r="Y356" s="116"/>
      <c r="Z356" s="116"/>
      <c r="AA356" s="15"/>
      <c r="AB356" s="15"/>
      <c r="AC356" s="15"/>
      <c r="AD356" s="15"/>
      <c r="AE356" s="118" t="str">
        <f>IF(NOT(ISBLANK(Audit[[#This Row],[Audit Winning Candidate]])), Audit[[#This Row],[Audit Winning Candidate]]-Audit[[#This Row],[Winning Candidate]], "")</f>
        <v/>
      </c>
      <c r="AF356" s="114" t="str">
        <f>IF(NOT(ISBLANK(Audit[[#This Row],[Audit Losing Candidate]])), Audit[[#This Row],[Audit Losing Candidate]]-Audit[[#This Row],[Losing Candidate]], "")</f>
        <v/>
      </c>
      <c r="AG356" s="114" t="str">
        <f>IF(NOT(ISBLANK(Audit[[#This Row],[Audit Candidate 3]])), Audit[[#This Row],[Audit Candidate 3]]-Audit[[#This Row],[Candidate 3]], "")</f>
        <v/>
      </c>
      <c r="AH356" s="114" t="str">
        <f>IF(NOT(ISBLANK(Audit[[#This Row],[Audit Candidate 4]])),Audit[[#This Row],[Audit Candidate 4]]-Audit[[#This Row],[Candidate 4]], "")</f>
        <v/>
      </c>
      <c r="AI356" s="114" t="str">
        <f>IF(NOT(ISBLANK(Audit[[#This Row],[Audit Candidate 5]])), Audit[[#This Row],[Audit Candidate 5]]-Audit[[#This Row],[Candidate 5]], "")</f>
        <v/>
      </c>
      <c r="AJ356" s="114" t="str">
        <f>IF(NOT(ISBLANK(Audit[[#This Row],[Audit Candidate 6]])), Audit[[#This Row],[Audit Candidate 6]]-Audit[[#This Row],[Candidate 6]], "")</f>
        <v/>
      </c>
      <c r="AK356" s="114" t="str">
        <f>IF(NOT(ISBLANK(Audit[[#This Row],[Audit Candidate 7]])), Audit[[#This Row],[Audit Candidate 7]]-Audit[[#This Row],[Candidate 7]], "")</f>
        <v/>
      </c>
      <c r="AL356" s="114" t="str">
        <f>IF(NOT(ISBLANK(Audit[[#This Row],[Audit Candidate 8]])), Audit[[#This Row],[Audit Candidate 8]]-Audit[[#This Row],[Candidate 8]], "")</f>
        <v/>
      </c>
      <c r="AM356" s="114" t="str">
        <f>IF(NOT(ISBLANK(Audit[[#This Row],[Audit Candidate 9]])), Audit[[#This Row],[Audit Candidate 9]]-Audit[[#This Row],[Candidate 9]], "")</f>
        <v/>
      </c>
      <c r="AN356" s="114" t="str">
        <f>IF(NOT(ISBLANK(Audit[[#This Row],[Audit Candidate 10]])), Audit[[#This Row],[Audit Candidate 10]]-Audit[[#This Row],[Candidate 10]], "")</f>
        <v/>
      </c>
      <c r="AO356" s="114" t="str">
        <f>IF(NOT(ISBLANK(Audit[[#This Row],[Audit Candidate 11]])), Audit[[#This Row],[Audit Candidate 11]]-Audit[[#This Row],[Candidate 11]], "")</f>
        <v/>
      </c>
      <c r="AP356" s="114" t="str">
        <f>IF(NOT(ISBLANK(Audit[[#This Row],[Audit Candidate 12]])), Audit[[#This Row],[Audit Candidate 12]]-Audit[[#This Row],[Candidate 12]], "")</f>
        <v/>
      </c>
      <c r="AQ356" s="114">
        <f>SUMIF(Audit[[#This Row],[Difference Winner]:[Difference Candidate 12]], "&gt;0")</f>
        <v>0</v>
      </c>
      <c r="AR356" s="114">
        <f>SUM(Audit[[#This Row],[Difference Winner]:[Difference Candidate 12]])</f>
        <v>0</v>
      </c>
      <c r="AS356" s="114">
        <f>IF(Audit[[#This Row],[Times p Drawn - With Replacement]]&gt;0, IF(Audit[[#This Row],[Canceled Differences]]&lt;0, Audit[[#This Row],[Max Differences]]+ABS(Audit[[#This Row],[Canceled Differences]]), Audit[[#This Row],[Max Differences]]), 0)</f>
        <v>0</v>
      </c>
      <c r="AT356" s="114">
        <f>'Sampling Data'!AB356</f>
        <v>1.0894107021901106E-2</v>
      </c>
      <c r="AU356" s="114">
        <f>IF(
      SUM(Audit[[#This Row],[Audit Losing Candidate]:[Audit Candidate 12]])
      &lt;&gt;0,
      (Audit[[#This Row],[Winning Candidate]]-Audit[[#This Row],[Losing Candidate]]-(Audit[[#This Row],[Audit Winning Candidate]]-Audit[[#This Row],[Audit Losing Candidate]]))/(Audit[[#Totals],[Winning Candidate]]-Audit[[#Totals],[Losing Candidate]]),
      0
)</f>
        <v>0</v>
      </c>
      <c r="AV3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6" s="114">
        <f>IF(Audit[[#This Row],[Max Relative Error (ep)]] = 0, 0, Audit[[#This Row],[Max Relative Error (ep)]]/Audit[[#This Row],[Error Bound (up) - Max. possible relative overstatement]])</f>
        <v>0</v>
      </c>
      <c r="BH3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6" s="114">
        <f t="shared" si="6"/>
        <v>1</v>
      </c>
      <c r="BJ356" s="114">
        <f>PRODUCT($BI$5:BI356)</f>
        <v>7.4038944863463699E-2</v>
      </c>
      <c r="BK356" s="112">
        <f>1 - Audit[[#This Row],[K-M P Value]]</f>
        <v>0.92596105513653626</v>
      </c>
      <c r="BL356" s="114" t="str">
        <f>IF(Audit[[#This Row],[K-M P Value]]&gt;1-'General Info'!$B$12,"Continue", "Stop")</f>
        <v>Stop</v>
      </c>
      <c r="BM356" s="113" t="b">
        <f>IF(Audit[[#This Row],[Status - Continue or stop audit]] = "Continue", TRUE, IF(BL355 = "Continue", TRUE, FALSE))</f>
        <v>0</v>
      </c>
      <c r="BN356" s="113"/>
    </row>
    <row r="357" spans="1:66" ht="15" hidden="1" customHeight="1" x14ac:dyDescent="0.35">
      <c r="A357" s="114" t="str">
        <f>'Sampling Data'!AI357</f>
        <v/>
      </c>
      <c r="B357" s="114" t="str">
        <f>'Sampling Data'!A357</f>
        <v>2504 CIN 25-D   (ED)</v>
      </c>
      <c r="C357" s="114">
        <f>'Sampling Data'!B357</f>
        <v>38</v>
      </c>
      <c r="D357" s="114">
        <f>'Sampling Data'!C357</f>
        <v>20</v>
      </c>
      <c r="E357" s="115">
        <f>'Sampling Data'!D357</f>
        <v>3</v>
      </c>
      <c r="F357" s="115">
        <f>'Sampling Data'!E357</f>
        <v>0</v>
      </c>
      <c r="G357" s="115">
        <f>'Sampling Data'!F357</f>
        <v>0</v>
      </c>
      <c r="H357" s="115">
        <f>'Sampling Data'!G357</f>
        <v>0</v>
      </c>
      <c r="I357" s="115">
        <f>'Sampling Data'!H357</f>
        <v>0</v>
      </c>
      <c r="J357" s="115">
        <f>'Sampling Data'!I357</f>
        <v>0</v>
      </c>
      <c r="K357" s="115">
        <f>'Sampling Data'!J357</f>
        <v>0</v>
      </c>
      <c r="L357" s="115">
        <f>'Sampling Data'!K357</f>
        <v>0</v>
      </c>
      <c r="M357" s="115">
        <f>'Sampling Data'!L357</f>
        <v>0</v>
      </c>
      <c r="N357" s="115">
        <f>'Sampling Data'!M357</f>
        <v>0</v>
      </c>
      <c r="O357" s="114">
        <f>'Sampling Data'!N357</f>
        <v>0</v>
      </c>
      <c r="P357" s="114">
        <f>'Sampling Data'!O357</f>
        <v>1</v>
      </c>
      <c r="Q357" s="114">
        <f>'Sampling Data'!P357</f>
        <v>62</v>
      </c>
      <c r="R357" s="114">
        <f>'Sampling Data'!AJ357</f>
        <v>0</v>
      </c>
      <c r="S357" s="116"/>
      <c r="T357" s="116"/>
      <c r="U357" s="117"/>
      <c r="V357" s="117"/>
      <c r="W357" s="116"/>
      <c r="X357" s="116"/>
      <c r="Y357" s="116"/>
      <c r="Z357" s="116"/>
      <c r="AA357" s="15"/>
      <c r="AB357" s="15"/>
      <c r="AC357" s="15"/>
      <c r="AD357" s="15"/>
      <c r="AE357" s="118" t="str">
        <f>IF(NOT(ISBLANK(Audit[[#This Row],[Audit Winning Candidate]])), Audit[[#This Row],[Audit Winning Candidate]]-Audit[[#This Row],[Winning Candidate]], "")</f>
        <v/>
      </c>
      <c r="AF357" s="114" t="str">
        <f>IF(NOT(ISBLANK(Audit[[#This Row],[Audit Losing Candidate]])), Audit[[#This Row],[Audit Losing Candidate]]-Audit[[#This Row],[Losing Candidate]], "")</f>
        <v/>
      </c>
      <c r="AG357" s="114" t="str">
        <f>IF(NOT(ISBLANK(Audit[[#This Row],[Audit Candidate 3]])), Audit[[#This Row],[Audit Candidate 3]]-Audit[[#This Row],[Candidate 3]], "")</f>
        <v/>
      </c>
      <c r="AH357" s="114" t="str">
        <f>IF(NOT(ISBLANK(Audit[[#This Row],[Audit Candidate 4]])),Audit[[#This Row],[Audit Candidate 4]]-Audit[[#This Row],[Candidate 4]], "")</f>
        <v/>
      </c>
      <c r="AI357" s="114" t="str">
        <f>IF(NOT(ISBLANK(Audit[[#This Row],[Audit Candidate 5]])), Audit[[#This Row],[Audit Candidate 5]]-Audit[[#This Row],[Candidate 5]], "")</f>
        <v/>
      </c>
      <c r="AJ357" s="114" t="str">
        <f>IF(NOT(ISBLANK(Audit[[#This Row],[Audit Candidate 6]])), Audit[[#This Row],[Audit Candidate 6]]-Audit[[#This Row],[Candidate 6]], "")</f>
        <v/>
      </c>
      <c r="AK357" s="114" t="str">
        <f>IF(NOT(ISBLANK(Audit[[#This Row],[Audit Candidate 7]])), Audit[[#This Row],[Audit Candidate 7]]-Audit[[#This Row],[Candidate 7]], "")</f>
        <v/>
      </c>
      <c r="AL357" s="114" t="str">
        <f>IF(NOT(ISBLANK(Audit[[#This Row],[Audit Candidate 8]])), Audit[[#This Row],[Audit Candidate 8]]-Audit[[#This Row],[Candidate 8]], "")</f>
        <v/>
      </c>
      <c r="AM357" s="114" t="str">
        <f>IF(NOT(ISBLANK(Audit[[#This Row],[Audit Candidate 9]])), Audit[[#This Row],[Audit Candidate 9]]-Audit[[#This Row],[Candidate 9]], "")</f>
        <v/>
      </c>
      <c r="AN357" s="114" t="str">
        <f>IF(NOT(ISBLANK(Audit[[#This Row],[Audit Candidate 10]])), Audit[[#This Row],[Audit Candidate 10]]-Audit[[#This Row],[Candidate 10]], "")</f>
        <v/>
      </c>
      <c r="AO357" s="114" t="str">
        <f>IF(NOT(ISBLANK(Audit[[#This Row],[Audit Candidate 11]])), Audit[[#This Row],[Audit Candidate 11]]-Audit[[#This Row],[Candidate 11]], "")</f>
        <v/>
      </c>
      <c r="AP357" s="114" t="str">
        <f>IF(NOT(ISBLANK(Audit[[#This Row],[Audit Candidate 12]])), Audit[[#This Row],[Audit Candidate 12]]-Audit[[#This Row],[Candidate 12]], "")</f>
        <v/>
      </c>
      <c r="AQ357" s="114">
        <f>SUMIF(Audit[[#This Row],[Difference Winner]:[Difference Candidate 12]], "&gt;0")</f>
        <v>0</v>
      </c>
      <c r="AR357" s="114">
        <f>SUM(Audit[[#This Row],[Difference Winner]:[Difference Candidate 12]])</f>
        <v>0</v>
      </c>
      <c r="AS357" s="114">
        <f>IF(Audit[[#This Row],[Times p Drawn - With Replacement]]&gt;0, IF(Audit[[#This Row],[Canceled Differences]]&lt;0, Audit[[#This Row],[Max Differences]]+ABS(Audit[[#This Row],[Canceled Differences]]), Audit[[#This Row],[Max Differences]]), 0)</f>
        <v>0</v>
      </c>
      <c r="AT357" s="114">
        <f>'Sampling Data'!AB357</f>
        <v>5.4752765861368251E-3</v>
      </c>
      <c r="AU357" s="114">
        <f>IF(
      SUM(Audit[[#This Row],[Audit Losing Candidate]:[Audit Candidate 12]])
      &lt;&gt;0,
      (Audit[[#This Row],[Winning Candidate]]-Audit[[#This Row],[Losing Candidate]]-(Audit[[#This Row],[Audit Winning Candidate]]-Audit[[#This Row],[Audit Losing Candidate]]))/(Audit[[#Totals],[Winning Candidate]]-Audit[[#Totals],[Losing Candidate]]),
      0
)</f>
        <v>0</v>
      </c>
      <c r="AV3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7" s="114">
        <f>IF(Audit[[#This Row],[Max Relative Error (ep)]] = 0, 0, Audit[[#This Row],[Max Relative Error (ep)]]/Audit[[#This Row],[Error Bound (up) - Max. possible relative overstatement]])</f>
        <v>0</v>
      </c>
      <c r="BH3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7" s="114">
        <f t="shared" si="6"/>
        <v>1</v>
      </c>
      <c r="BJ357" s="114">
        <f>PRODUCT($BI$5:BI357)</f>
        <v>7.4038944863463699E-2</v>
      </c>
      <c r="BK357" s="112">
        <f>1 - Audit[[#This Row],[K-M P Value]]</f>
        <v>0.92596105513653626</v>
      </c>
      <c r="BL357" s="114" t="str">
        <f>IF(Audit[[#This Row],[K-M P Value]]&gt;1-'General Info'!$B$12,"Continue", "Stop")</f>
        <v>Stop</v>
      </c>
      <c r="BM357" s="113" t="b">
        <f>IF(Audit[[#This Row],[Status - Continue or stop audit]] = "Continue", TRUE, IF(BL356 = "Continue", TRUE, FALSE))</f>
        <v>0</v>
      </c>
      <c r="BN357" s="113"/>
    </row>
    <row r="358" spans="1:66" ht="15" hidden="1" customHeight="1" x14ac:dyDescent="0.35">
      <c r="A358" s="114" t="str">
        <f>'Sampling Data'!AI358</f>
        <v/>
      </c>
      <c r="B358" s="114" t="str">
        <f>'Sampling Data'!A358</f>
        <v>2505 CIN 25-E   (ED)</v>
      </c>
      <c r="C358" s="114">
        <f>'Sampling Data'!B358</f>
        <v>59</v>
      </c>
      <c r="D358" s="114">
        <f>'Sampling Data'!C358</f>
        <v>29</v>
      </c>
      <c r="E358" s="115">
        <f>'Sampling Data'!D358</f>
        <v>12</v>
      </c>
      <c r="F358" s="115">
        <f>'Sampling Data'!E358</f>
        <v>0</v>
      </c>
      <c r="G358" s="115">
        <f>'Sampling Data'!F358</f>
        <v>0</v>
      </c>
      <c r="H358" s="115">
        <f>'Sampling Data'!G358</f>
        <v>0</v>
      </c>
      <c r="I358" s="115">
        <f>'Sampling Data'!H358</f>
        <v>0</v>
      </c>
      <c r="J358" s="115">
        <f>'Sampling Data'!I358</f>
        <v>0</v>
      </c>
      <c r="K358" s="115">
        <f>'Sampling Data'!J358</f>
        <v>0</v>
      </c>
      <c r="L358" s="115">
        <f>'Sampling Data'!K358</f>
        <v>0</v>
      </c>
      <c r="M358" s="115">
        <f>'Sampling Data'!L358</f>
        <v>0</v>
      </c>
      <c r="N358" s="115">
        <f>'Sampling Data'!M358</f>
        <v>0</v>
      </c>
      <c r="O358" s="114">
        <f>'Sampling Data'!N358</f>
        <v>2</v>
      </c>
      <c r="P358" s="114">
        <f>'Sampling Data'!O358</f>
        <v>3</v>
      </c>
      <c r="Q358" s="114">
        <f>'Sampling Data'!P358</f>
        <v>105</v>
      </c>
      <c r="R358" s="114">
        <f>'Sampling Data'!AJ358</f>
        <v>0</v>
      </c>
      <c r="S358" s="116"/>
      <c r="T358" s="116"/>
      <c r="U358" s="117"/>
      <c r="V358" s="117"/>
      <c r="W358" s="116"/>
      <c r="X358" s="116"/>
      <c r="Y358" s="116"/>
      <c r="Z358" s="116"/>
      <c r="AA358" s="15"/>
      <c r="AB358" s="15"/>
      <c r="AC358" s="15"/>
      <c r="AD358" s="15"/>
      <c r="AE358" s="118" t="str">
        <f>IF(NOT(ISBLANK(Audit[[#This Row],[Audit Winning Candidate]])), Audit[[#This Row],[Audit Winning Candidate]]-Audit[[#This Row],[Winning Candidate]], "")</f>
        <v/>
      </c>
      <c r="AF358" s="114" t="str">
        <f>IF(NOT(ISBLANK(Audit[[#This Row],[Audit Losing Candidate]])), Audit[[#This Row],[Audit Losing Candidate]]-Audit[[#This Row],[Losing Candidate]], "")</f>
        <v/>
      </c>
      <c r="AG358" s="114" t="str">
        <f>IF(NOT(ISBLANK(Audit[[#This Row],[Audit Candidate 3]])), Audit[[#This Row],[Audit Candidate 3]]-Audit[[#This Row],[Candidate 3]], "")</f>
        <v/>
      </c>
      <c r="AH358" s="114" t="str">
        <f>IF(NOT(ISBLANK(Audit[[#This Row],[Audit Candidate 4]])),Audit[[#This Row],[Audit Candidate 4]]-Audit[[#This Row],[Candidate 4]], "")</f>
        <v/>
      </c>
      <c r="AI358" s="114" t="str">
        <f>IF(NOT(ISBLANK(Audit[[#This Row],[Audit Candidate 5]])), Audit[[#This Row],[Audit Candidate 5]]-Audit[[#This Row],[Candidate 5]], "")</f>
        <v/>
      </c>
      <c r="AJ358" s="114" t="str">
        <f>IF(NOT(ISBLANK(Audit[[#This Row],[Audit Candidate 6]])), Audit[[#This Row],[Audit Candidate 6]]-Audit[[#This Row],[Candidate 6]], "")</f>
        <v/>
      </c>
      <c r="AK358" s="114" t="str">
        <f>IF(NOT(ISBLANK(Audit[[#This Row],[Audit Candidate 7]])), Audit[[#This Row],[Audit Candidate 7]]-Audit[[#This Row],[Candidate 7]], "")</f>
        <v/>
      </c>
      <c r="AL358" s="114" t="str">
        <f>IF(NOT(ISBLANK(Audit[[#This Row],[Audit Candidate 8]])), Audit[[#This Row],[Audit Candidate 8]]-Audit[[#This Row],[Candidate 8]], "")</f>
        <v/>
      </c>
      <c r="AM358" s="114" t="str">
        <f>IF(NOT(ISBLANK(Audit[[#This Row],[Audit Candidate 9]])), Audit[[#This Row],[Audit Candidate 9]]-Audit[[#This Row],[Candidate 9]], "")</f>
        <v/>
      </c>
      <c r="AN358" s="114" t="str">
        <f>IF(NOT(ISBLANK(Audit[[#This Row],[Audit Candidate 10]])), Audit[[#This Row],[Audit Candidate 10]]-Audit[[#This Row],[Candidate 10]], "")</f>
        <v/>
      </c>
      <c r="AO358" s="114" t="str">
        <f>IF(NOT(ISBLANK(Audit[[#This Row],[Audit Candidate 11]])), Audit[[#This Row],[Audit Candidate 11]]-Audit[[#This Row],[Candidate 11]], "")</f>
        <v/>
      </c>
      <c r="AP358" s="114" t="str">
        <f>IF(NOT(ISBLANK(Audit[[#This Row],[Audit Candidate 12]])), Audit[[#This Row],[Audit Candidate 12]]-Audit[[#This Row],[Candidate 12]], "")</f>
        <v/>
      </c>
      <c r="AQ358" s="114">
        <f>SUMIF(Audit[[#This Row],[Difference Winner]:[Difference Candidate 12]], "&gt;0")</f>
        <v>0</v>
      </c>
      <c r="AR358" s="114">
        <f>SUM(Audit[[#This Row],[Difference Winner]:[Difference Candidate 12]])</f>
        <v>0</v>
      </c>
      <c r="AS358" s="114">
        <f>IF(Audit[[#This Row],[Times p Drawn - With Replacement]]&gt;0, IF(Audit[[#This Row],[Canceled Differences]]&lt;0, Audit[[#This Row],[Max Differences]]+ABS(Audit[[#This Row],[Canceled Differences]]), Audit[[#This Row],[Max Differences]]), 0)</f>
        <v>0</v>
      </c>
      <c r="AT358" s="114">
        <f>'Sampling Data'!AB358</f>
        <v>8.579814856626778E-3</v>
      </c>
      <c r="AU358" s="114">
        <f>IF(
      SUM(Audit[[#This Row],[Audit Losing Candidate]:[Audit Candidate 12]])
      &lt;&gt;0,
      (Audit[[#This Row],[Winning Candidate]]-Audit[[#This Row],[Losing Candidate]]-(Audit[[#This Row],[Audit Winning Candidate]]-Audit[[#This Row],[Audit Losing Candidate]]))/(Audit[[#Totals],[Winning Candidate]]-Audit[[#Totals],[Losing Candidate]]),
      0
)</f>
        <v>0</v>
      </c>
      <c r="AV3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8" s="114">
        <f>IF(Audit[[#This Row],[Max Relative Error (ep)]] = 0, 0, Audit[[#This Row],[Max Relative Error (ep)]]/Audit[[#This Row],[Error Bound (up) - Max. possible relative overstatement]])</f>
        <v>0</v>
      </c>
      <c r="BH3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8" s="114">
        <f t="shared" si="6"/>
        <v>1</v>
      </c>
      <c r="BJ358" s="114">
        <f>PRODUCT($BI$5:BI358)</f>
        <v>7.4038944863463699E-2</v>
      </c>
      <c r="BK358" s="112">
        <f>1 - Audit[[#This Row],[K-M P Value]]</f>
        <v>0.92596105513653626</v>
      </c>
      <c r="BL358" s="114" t="str">
        <f>IF(Audit[[#This Row],[K-M P Value]]&gt;1-'General Info'!$B$12,"Continue", "Stop")</f>
        <v>Stop</v>
      </c>
      <c r="BM358" s="113" t="b">
        <f>IF(Audit[[#This Row],[Status - Continue or stop audit]] = "Continue", TRUE, IF(BL357 = "Continue", TRUE, FALSE))</f>
        <v>0</v>
      </c>
      <c r="BN358" s="113"/>
    </row>
    <row r="359" spans="1:66" ht="15" hidden="1" customHeight="1" x14ac:dyDescent="0.35">
      <c r="A359" s="114" t="str">
        <f>'Sampling Data'!AI359</f>
        <v/>
      </c>
      <c r="B359" s="114" t="str">
        <f>'Sampling Data'!A359</f>
        <v>2506 CIN 25-F   (ED)</v>
      </c>
      <c r="C359" s="114">
        <f>'Sampling Data'!B359</f>
        <v>50</v>
      </c>
      <c r="D359" s="114">
        <f>'Sampling Data'!C359</f>
        <v>21</v>
      </c>
      <c r="E359" s="115">
        <f>'Sampling Data'!D359</f>
        <v>7</v>
      </c>
      <c r="F359" s="115">
        <f>'Sampling Data'!E359</f>
        <v>0</v>
      </c>
      <c r="G359" s="115">
        <f>'Sampling Data'!F359</f>
        <v>0</v>
      </c>
      <c r="H359" s="115">
        <f>'Sampling Data'!G359</f>
        <v>0</v>
      </c>
      <c r="I359" s="115">
        <f>'Sampling Data'!H359</f>
        <v>0</v>
      </c>
      <c r="J359" s="115">
        <f>'Sampling Data'!I359</f>
        <v>0</v>
      </c>
      <c r="K359" s="115">
        <f>'Sampling Data'!J359</f>
        <v>0</v>
      </c>
      <c r="L359" s="115">
        <f>'Sampling Data'!K359</f>
        <v>0</v>
      </c>
      <c r="M359" s="115">
        <f>'Sampling Data'!L359</f>
        <v>0</v>
      </c>
      <c r="N359" s="115">
        <f>'Sampling Data'!M359</f>
        <v>0</v>
      </c>
      <c r="O359" s="114">
        <f>'Sampling Data'!N359</f>
        <v>0</v>
      </c>
      <c r="P359" s="114">
        <f>'Sampling Data'!O359</f>
        <v>0</v>
      </c>
      <c r="Q359" s="114">
        <f>'Sampling Data'!P359</f>
        <v>78</v>
      </c>
      <c r="R359" s="114">
        <f>'Sampling Data'!AJ359</f>
        <v>0</v>
      </c>
      <c r="S359" s="116"/>
      <c r="T359" s="116"/>
      <c r="U359" s="117"/>
      <c r="V359" s="117"/>
      <c r="W359" s="116"/>
      <c r="X359" s="116"/>
      <c r="Y359" s="116"/>
      <c r="Z359" s="116"/>
      <c r="AA359" s="15"/>
      <c r="AB359" s="15"/>
      <c r="AC359" s="15"/>
      <c r="AD359" s="15"/>
      <c r="AE359" s="118" t="str">
        <f>IF(NOT(ISBLANK(Audit[[#This Row],[Audit Winning Candidate]])), Audit[[#This Row],[Audit Winning Candidate]]-Audit[[#This Row],[Winning Candidate]], "")</f>
        <v/>
      </c>
      <c r="AF359" s="114" t="str">
        <f>IF(NOT(ISBLANK(Audit[[#This Row],[Audit Losing Candidate]])), Audit[[#This Row],[Audit Losing Candidate]]-Audit[[#This Row],[Losing Candidate]], "")</f>
        <v/>
      </c>
      <c r="AG359" s="114" t="str">
        <f>IF(NOT(ISBLANK(Audit[[#This Row],[Audit Candidate 3]])), Audit[[#This Row],[Audit Candidate 3]]-Audit[[#This Row],[Candidate 3]], "")</f>
        <v/>
      </c>
      <c r="AH359" s="114" t="str">
        <f>IF(NOT(ISBLANK(Audit[[#This Row],[Audit Candidate 4]])),Audit[[#This Row],[Audit Candidate 4]]-Audit[[#This Row],[Candidate 4]], "")</f>
        <v/>
      </c>
      <c r="AI359" s="114" t="str">
        <f>IF(NOT(ISBLANK(Audit[[#This Row],[Audit Candidate 5]])), Audit[[#This Row],[Audit Candidate 5]]-Audit[[#This Row],[Candidate 5]], "")</f>
        <v/>
      </c>
      <c r="AJ359" s="114" t="str">
        <f>IF(NOT(ISBLANK(Audit[[#This Row],[Audit Candidate 6]])), Audit[[#This Row],[Audit Candidate 6]]-Audit[[#This Row],[Candidate 6]], "")</f>
        <v/>
      </c>
      <c r="AK359" s="114" t="str">
        <f>IF(NOT(ISBLANK(Audit[[#This Row],[Audit Candidate 7]])), Audit[[#This Row],[Audit Candidate 7]]-Audit[[#This Row],[Candidate 7]], "")</f>
        <v/>
      </c>
      <c r="AL359" s="114" t="str">
        <f>IF(NOT(ISBLANK(Audit[[#This Row],[Audit Candidate 8]])), Audit[[#This Row],[Audit Candidate 8]]-Audit[[#This Row],[Candidate 8]], "")</f>
        <v/>
      </c>
      <c r="AM359" s="114" t="str">
        <f>IF(NOT(ISBLANK(Audit[[#This Row],[Audit Candidate 9]])), Audit[[#This Row],[Audit Candidate 9]]-Audit[[#This Row],[Candidate 9]], "")</f>
        <v/>
      </c>
      <c r="AN359" s="114" t="str">
        <f>IF(NOT(ISBLANK(Audit[[#This Row],[Audit Candidate 10]])), Audit[[#This Row],[Audit Candidate 10]]-Audit[[#This Row],[Candidate 10]], "")</f>
        <v/>
      </c>
      <c r="AO359" s="114" t="str">
        <f>IF(NOT(ISBLANK(Audit[[#This Row],[Audit Candidate 11]])), Audit[[#This Row],[Audit Candidate 11]]-Audit[[#This Row],[Candidate 11]], "")</f>
        <v/>
      </c>
      <c r="AP359" s="114" t="str">
        <f>IF(NOT(ISBLANK(Audit[[#This Row],[Audit Candidate 12]])), Audit[[#This Row],[Audit Candidate 12]]-Audit[[#This Row],[Candidate 12]], "")</f>
        <v/>
      </c>
      <c r="AQ359" s="114">
        <f>SUMIF(Audit[[#This Row],[Difference Winner]:[Difference Candidate 12]], "&gt;0")</f>
        <v>0</v>
      </c>
      <c r="AR359" s="114">
        <f>SUM(Audit[[#This Row],[Difference Winner]:[Difference Candidate 12]])</f>
        <v>0</v>
      </c>
      <c r="AS359" s="114">
        <f>IF(Audit[[#This Row],[Times p Drawn - With Replacement]]&gt;0, IF(Audit[[#This Row],[Canceled Differences]]&lt;0, Audit[[#This Row],[Max Differences]]+ABS(Audit[[#This Row],[Canceled Differences]]), Audit[[#This Row],[Max Differences]]), 0)</f>
        <v>0</v>
      </c>
      <c r="AT359" s="114">
        <f>'Sampling Data'!AB359</f>
        <v>6.8299841950778956E-3</v>
      </c>
      <c r="AU359" s="114">
        <f>IF(
      SUM(Audit[[#This Row],[Audit Losing Candidate]:[Audit Candidate 12]])
      &lt;&gt;0,
      (Audit[[#This Row],[Winning Candidate]]-Audit[[#This Row],[Losing Candidate]]-(Audit[[#This Row],[Audit Winning Candidate]]-Audit[[#This Row],[Audit Losing Candidate]]))/(Audit[[#Totals],[Winning Candidate]]-Audit[[#Totals],[Losing Candidate]]),
      0
)</f>
        <v>0</v>
      </c>
      <c r="AV3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9" s="114">
        <f>IF(Audit[[#This Row],[Max Relative Error (ep)]] = 0, 0, Audit[[#This Row],[Max Relative Error (ep)]]/Audit[[#This Row],[Error Bound (up) - Max. possible relative overstatement]])</f>
        <v>0</v>
      </c>
      <c r="BH3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59" s="114">
        <f t="shared" si="6"/>
        <v>1</v>
      </c>
      <c r="BJ359" s="114">
        <f>PRODUCT($BI$5:BI359)</f>
        <v>7.4038944863463699E-2</v>
      </c>
      <c r="BK359" s="112">
        <f>1 - Audit[[#This Row],[K-M P Value]]</f>
        <v>0.92596105513653626</v>
      </c>
      <c r="BL359" s="114" t="str">
        <f>IF(Audit[[#This Row],[K-M P Value]]&gt;1-'General Info'!$B$12,"Continue", "Stop")</f>
        <v>Stop</v>
      </c>
      <c r="BM359" s="113" t="b">
        <f>IF(Audit[[#This Row],[Status - Continue or stop audit]] = "Continue", TRUE, IF(BL358 = "Continue", TRUE, FALSE))</f>
        <v>0</v>
      </c>
      <c r="BN359" s="113"/>
    </row>
    <row r="360" spans="1:66" ht="15" hidden="1" customHeight="1" x14ac:dyDescent="0.35">
      <c r="A360" s="114" t="str">
        <f>'Sampling Data'!AI360</f>
        <v/>
      </c>
      <c r="B360" s="114" t="str">
        <f>'Sampling Data'!A360</f>
        <v>2507 CIN 25-G   (ED)</v>
      </c>
      <c r="C360" s="114">
        <f>'Sampling Data'!B360</f>
        <v>23</v>
      </c>
      <c r="D360" s="114">
        <f>'Sampling Data'!C360</f>
        <v>14</v>
      </c>
      <c r="E360" s="115">
        <f>'Sampling Data'!D360</f>
        <v>4</v>
      </c>
      <c r="F360" s="115">
        <f>'Sampling Data'!E360</f>
        <v>0</v>
      </c>
      <c r="G360" s="115">
        <f>'Sampling Data'!F360</f>
        <v>0</v>
      </c>
      <c r="H360" s="115">
        <f>'Sampling Data'!G360</f>
        <v>0</v>
      </c>
      <c r="I360" s="115">
        <f>'Sampling Data'!H360</f>
        <v>0</v>
      </c>
      <c r="J360" s="115">
        <f>'Sampling Data'!I360</f>
        <v>0</v>
      </c>
      <c r="K360" s="115">
        <f>'Sampling Data'!J360</f>
        <v>0</v>
      </c>
      <c r="L360" s="115">
        <f>'Sampling Data'!K360</f>
        <v>0</v>
      </c>
      <c r="M360" s="115">
        <f>'Sampling Data'!L360</f>
        <v>0</v>
      </c>
      <c r="N360" s="115">
        <f>'Sampling Data'!M360</f>
        <v>0</v>
      </c>
      <c r="O360" s="114">
        <f>'Sampling Data'!N360</f>
        <v>0</v>
      </c>
      <c r="P360" s="114">
        <f>'Sampling Data'!O360</f>
        <v>0</v>
      </c>
      <c r="Q360" s="114">
        <f>'Sampling Data'!P360</f>
        <v>41</v>
      </c>
      <c r="R360" s="114">
        <f>'Sampling Data'!AJ360</f>
        <v>0</v>
      </c>
      <c r="S360" s="116"/>
      <c r="T360" s="116"/>
      <c r="U360" s="117"/>
      <c r="V360" s="117"/>
      <c r="W360" s="116"/>
      <c r="X360" s="116"/>
      <c r="Y360" s="116"/>
      <c r="Z360" s="116"/>
      <c r="AA360" s="15"/>
      <c r="AB360" s="15"/>
      <c r="AC360" s="15"/>
      <c r="AD360" s="15"/>
      <c r="AE360" s="118" t="str">
        <f>IF(NOT(ISBLANK(Audit[[#This Row],[Audit Winning Candidate]])), Audit[[#This Row],[Audit Winning Candidate]]-Audit[[#This Row],[Winning Candidate]], "")</f>
        <v/>
      </c>
      <c r="AF360" s="114" t="str">
        <f>IF(NOT(ISBLANK(Audit[[#This Row],[Audit Losing Candidate]])), Audit[[#This Row],[Audit Losing Candidate]]-Audit[[#This Row],[Losing Candidate]], "")</f>
        <v/>
      </c>
      <c r="AG360" s="114" t="str">
        <f>IF(NOT(ISBLANK(Audit[[#This Row],[Audit Candidate 3]])), Audit[[#This Row],[Audit Candidate 3]]-Audit[[#This Row],[Candidate 3]], "")</f>
        <v/>
      </c>
      <c r="AH360" s="114" t="str">
        <f>IF(NOT(ISBLANK(Audit[[#This Row],[Audit Candidate 4]])),Audit[[#This Row],[Audit Candidate 4]]-Audit[[#This Row],[Candidate 4]], "")</f>
        <v/>
      </c>
      <c r="AI360" s="114" t="str">
        <f>IF(NOT(ISBLANK(Audit[[#This Row],[Audit Candidate 5]])), Audit[[#This Row],[Audit Candidate 5]]-Audit[[#This Row],[Candidate 5]], "")</f>
        <v/>
      </c>
      <c r="AJ360" s="114" t="str">
        <f>IF(NOT(ISBLANK(Audit[[#This Row],[Audit Candidate 6]])), Audit[[#This Row],[Audit Candidate 6]]-Audit[[#This Row],[Candidate 6]], "")</f>
        <v/>
      </c>
      <c r="AK360" s="114" t="str">
        <f>IF(NOT(ISBLANK(Audit[[#This Row],[Audit Candidate 7]])), Audit[[#This Row],[Audit Candidate 7]]-Audit[[#This Row],[Candidate 7]], "")</f>
        <v/>
      </c>
      <c r="AL360" s="114" t="str">
        <f>IF(NOT(ISBLANK(Audit[[#This Row],[Audit Candidate 8]])), Audit[[#This Row],[Audit Candidate 8]]-Audit[[#This Row],[Candidate 8]], "")</f>
        <v/>
      </c>
      <c r="AM360" s="114" t="str">
        <f>IF(NOT(ISBLANK(Audit[[#This Row],[Audit Candidate 9]])), Audit[[#This Row],[Audit Candidate 9]]-Audit[[#This Row],[Candidate 9]], "")</f>
        <v/>
      </c>
      <c r="AN360" s="114" t="str">
        <f>IF(NOT(ISBLANK(Audit[[#This Row],[Audit Candidate 10]])), Audit[[#This Row],[Audit Candidate 10]]-Audit[[#This Row],[Candidate 10]], "")</f>
        <v/>
      </c>
      <c r="AO360" s="114" t="str">
        <f>IF(NOT(ISBLANK(Audit[[#This Row],[Audit Candidate 11]])), Audit[[#This Row],[Audit Candidate 11]]-Audit[[#This Row],[Candidate 11]], "")</f>
        <v/>
      </c>
      <c r="AP360" s="114" t="str">
        <f>IF(NOT(ISBLANK(Audit[[#This Row],[Audit Candidate 12]])), Audit[[#This Row],[Audit Candidate 12]]-Audit[[#This Row],[Candidate 12]], "")</f>
        <v/>
      </c>
      <c r="AQ360" s="114">
        <f>SUMIF(Audit[[#This Row],[Difference Winner]:[Difference Candidate 12]], "&gt;0")</f>
        <v>0</v>
      </c>
      <c r="AR360" s="114">
        <f>SUM(Audit[[#This Row],[Difference Winner]:[Difference Candidate 12]])</f>
        <v>0</v>
      </c>
      <c r="AS360" s="114">
        <f>IF(Audit[[#This Row],[Times p Drawn - With Replacement]]&gt;0, IF(Audit[[#This Row],[Canceled Differences]]&lt;0, Audit[[#This Row],[Max Differences]]+ABS(Audit[[#This Row],[Canceled Differences]]), Audit[[#This Row],[Max Differences]]), 0)</f>
        <v>0</v>
      </c>
      <c r="AT360" s="114">
        <f>'Sampling Data'!AB360</f>
        <v>3.3867690223526757E-3</v>
      </c>
      <c r="AU360" s="114">
        <f>IF(
      SUM(Audit[[#This Row],[Audit Losing Candidate]:[Audit Candidate 12]])
      &lt;&gt;0,
      (Audit[[#This Row],[Winning Candidate]]-Audit[[#This Row],[Losing Candidate]]-(Audit[[#This Row],[Audit Winning Candidate]]-Audit[[#This Row],[Audit Losing Candidate]]))/(Audit[[#Totals],[Winning Candidate]]-Audit[[#Totals],[Losing Candidate]]),
      0
)</f>
        <v>0</v>
      </c>
      <c r="AV3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0" s="114">
        <f>IF(Audit[[#This Row],[Max Relative Error (ep)]] = 0, 0, Audit[[#This Row],[Max Relative Error (ep)]]/Audit[[#This Row],[Error Bound (up) - Max. possible relative overstatement]])</f>
        <v>0</v>
      </c>
      <c r="BH3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0" s="114">
        <f t="shared" si="6"/>
        <v>1</v>
      </c>
      <c r="BJ360" s="114">
        <f>PRODUCT($BI$5:BI360)</f>
        <v>7.4038944863463699E-2</v>
      </c>
      <c r="BK360" s="112">
        <f>1 - Audit[[#This Row],[K-M P Value]]</f>
        <v>0.92596105513653626</v>
      </c>
      <c r="BL360" s="114" t="str">
        <f>IF(Audit[[#This Row],[K-M P Value]]&gt;1-'General Info'!$B$12,"Continue", "Stop")</f>
        <v>Stop</v>
      </c>
      <c r="BM360" s="113" t="b">
        <f>IF(Audit[[#This Row],[Status - Continue or stop audit]] = "Continue", TRUE, IF(BL359 = "Continue", TRUE, FALSE))</f>
        <v>0</v>
      </c>
      <c r="BN360" s="113"/>
    </row>
    <row r="361" spans="1:66" ht="15" hidden="1" customHeight="1" x14ac:dyDescent="0.35">
      <c r="A361" s="114" t="str">
        <f>'Sampling Data'!AI361</f>
        <v/>
      </c>
      <c r="B361" s="114" t="str">
        <f>'Sampling Data'!A361</f>
        <v>2508 CIN 25-H   (ED)</v>
      </c>
      <c r="C361" s="114">
        <f>'Sampling Data'!B361</f>
        <v>65</v>
      </c>
      <c r="D361" s="114">
        <f>'Sampling Data'!C361</f>
        <v>30</v>
      </c>
      <c r="E361" s="115">
        <f>'Sampling Data'!D361</f>
        <v>5</v>
      </c>
      <c r="F361" s="115">
        <f>'Sampling Data'!E361</f>
        <v>0</v>
      </c>
      <c r="G361" s="115">
        <f>'Sampling Data'!F361</f>
        <v>0</v>
      </c>
      <c r="H361" s="115">
        <f>'Sampling Data'!G361</f>
        <v>0</v>
      </c>
      <c r="I361" s="115">
        <f>'Sampling Data'!H361</f>
        <v>0</v>
      </c>
      <c r="J361" s="115">
        <f>'Sampling Data'!I361</f>
        <v>0</v>
      </c>
      <c r="K361" s="115">
        <f>'Sampling Data'!J361</f>
        <v>0</v>
      </c>
      <c r="L361" s="115">
        <f>'Sampling Data'!K361</f>
        <v>0</v>
      </c>
      <c r="M361" s="115">
        <f>'Sampling Data'!L361</f>
        <v>0</v>
      </c>
      <c r="N361" s="115">
        <f>'Sampling Data'!M361</f>
        <v>0</v>
      </c>
      <c r="O361" s="114">
        <f>'Sampling Data'!N361</f>
        <v>1</v>
      </c>
      <c r="P361" s="114">
        <f>'Sampling Data'!O361</f>
        <v>0</v>
      </c>
      <c r="Q361" s="114">
        <f>'Sampling Data'!P361</f>
        <v>101</v>
      </c>
      <c r="R361" s="114">
        <f>'Sampling Data'!AJ361</f>
        <v>0</v>
      </c>
      <c r="S361" s="116"/>
      <c r="T361" s="116"/>
      <c r="U361" s="117"/>
      <c r="V361" s="117"/>
      <c r="W361" s="116"/>
      <c r="X361" s="116"/>
      <c r="Y361" s="116"/>
      <c r="Z361" s="116"/>
      <c r="AA361" s="15"/>
      <c r="AB361" s="15"/>
      <c r="AC361" s="15"/>
      <c r="AD361" s="15"/>
      <c r="AE361" s="118" t="str">
        <f>IF(NOT(ISBLANK(Audit[[#This Row],[Audit Winning Candidate]])), Audit[[#This Row],[Audit Winning Candidate]]-Audit[[#This Row],[Winning Candidate]], "")</f>
        <v/>
      </c>
      <c r="AF361" s="114" t="str">
        <f>IF(NOT(ISBLANK(Audit[[#This Row],[Audit Losing Candidate]])), Audit[[#This Row],[Audit Losing Candidate]]-Audit[[#This Row],[Losing Candidate]], "")</f>
        <v/>
      </c>
      <c r="AG361" s="114" t="str">
        <f>IF(NOT(ISBLANK(Audit[[#This Row],[Audit Candidate 3]])), Audit[[#This Row],[Audit Candidate 3]]-Audit[[#This Row],[Candidate 3]], "")</f>
        <v/>
      </c>
      <c r="AH361" s="114" t="str">
        <f>IF(NOT(ISBLANK(Audit[[#This Row],[Audit Candidate 4]])),Audit[[#This Row],[Audit Candidate 4]]-Audit[[#This Row],[Candidate 4]], "")</f>
        <v/>
      </c>
      <c r="AI361" s="114" t="str">
        <f>IF(NOT(ISBLANK(Audit[[#This Row],[Audit Candidate 5]])), Audit[[#This Row],[Audit Candidate 5]]-Audit[[#This Row],[Candidate 5]], "")</f>
        <v/>
      </c>
      <c r="AJ361" s="114" t="str">
        <f>IF(NOT(ISBLANK(Audit[[#This Row],[Audit Candidate 6]])), Audit[[#This Row],[Audit Candidate 6]]-Audit[[#This Row],[Candidate 6]], "")</f>
        <v/>
      </c>
      <c r="AK361" s="114" t="str">
        <f>IF(NOT(ISBLANK(Audit[[#This Row],[Audit Candidate 7]])), Audit[[#This Row],[Audit Candidate 7]]-Audit[[#This Row],[Candidate 7]], "")</f>
        <v/>
      </c>
      <c r="AL361" s="114" t="str">
        <f>IF(NOT(ISBLANK(Audit[[#This Row],[Audit Candidate 8]])), Audit[[#This Row],[Audit Candidate 8]]-Audit[[#This Row],[Candidate 8]], "")</f>
        <v/>
      </c>
      <c r="AM361" s="114" t="str">
        <f>IF(NOT(ISBLANK(Audit[[#This Row],[Audit Candidate 9]])), Audit[[#This Row],[Audit Candidate 9]]-Audit[[#This Row],[Candidate 9]], "")</f>
        <v/>
      </c>
      <c r="AN361" s="114" t="str">
        <f>IF(NOT(ISBLANK(Audit[[#This Row],[Audit Candidate 10]])), Audit[[#This Row],[Audit Candidate 10]]-Audit[[#This Row],[Candidate 10]], "")</f>
        <v/>
      </c>
      <c r="AO361" s="114" t="str">
        <f>IF(NOT(ISBLANK(Audit[[#This Row],[Audit Candidate 11]])), Audit[[#This Row],[Audit Candidate 11]]-Audit[[#This Row],[Candidate 11]], "")</f>
        <v/>
      </c>
      <c r="AP361" s="114" t="str">
        <f>IF(NOT(ISBLANK(Audit[[#This Row],[Audit Candidate 12]])), Audit[[#This Row],[Audit Candidate 12]]-Audit[[#This Row],[Candidate 12]], "")</f>
        <v/>
      </c>
      <c r="AQ361" s="114">
        <f>SUMIF(Audit[[#This Row],[Difference Winner]:[Difference Candidate 12]], "&gt;0")</f>
        <v>0</v>
      </c>
      <c r="AR361" s="114">
        <f>SUM(Audit[[#This Row],[Difference Winner]:[Difference Candidate 12]])</f>
        <v>0</v>
      </c>
      <c r="AS361" s="114">
        <f>IF(Audit[[#This Row],[Times p Drawn - With Replacement]]&gt;0, IF(Audit[[#This Row],[Canceled Differences]]&lt;0, Audit[[#This Row],[Max Differences]]+ABS(Audit[[#This Row],[Canceled Differences]]), Audit[[#This Row],[Max Differences]]), 0)</f>
        <v>0</v>
      </c>
      <c r="AT361" s="114">
        <f>'Sampling Data'!AB361</f>
        <v>9.0878302099796793E-3</v>
      </c>
      <c r="AU361" s="114">
        <f>IF(
      SUM(Audit[[#This Row],[Audit Losing Candidate]:[Audit Candidate 12]])
      &lt;&gt;0,
      (Audit[[#This Row],[Winning Candidate]]-Audit[[#This Row],[Losing Candidate]]-(Audit[[#This Row],[Audit Winning Candidate]]-Audit[[#This Row],[Audit Losing Candidate]]))/(Audit[[#Totals],[Winning Candidate]]-Audit[[#Totals],[Losing Candidate]]),
      0
)</f>
        <v>0</v>
      </c>
      <c r="AV36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1" s="114">
        <f>IF(Audit[[#This Row],[Max Relative Error (ep)]] = 0, 0, Audit[[#This Row],[Max Relative Error (ep)]]/Audit[[#This Row],[Error Bound (up) - Max. possible relative overstatement]])</f>
        <v>0</v>
      </c>
      <c r="BH36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1" s="114">
        <f t="shared" si="6"/>
        <v>1</v>
      </c>
      <c r="BJ361" s="114">
        <f>PRODUCT($BI$5:BI361)</f>
        <v>7.4038944863463699E-2</v>
      </c>
      <c r="BK361" s="112">
        <f>1 - Audit[[#This Row],[K-M P Value]]</f>
        <v>0.92596105513653626</v>
      </c>
      <c r="BL361" s="114" t="str">
        <f>IF(Audit[[#This Row],[K-M P Value]]&gt;1-'General Info'!$B$12,"Continue", "Stop")</f>
        <v>Stop</v>
      </c>
      <c r="BM361" s="113" t="b">
        <f>IF(Audit[[#This Row],[Status - Continue or stop audit]] = "Continue", TRUE, IF(BL360 = "Continue", TRUE, FALSE))</f>
        <v>0</v>
      </c>
      <c r="BN361" s="113"/>
    </row>
    <row r="362" spans="1:66" ht="15" hidden="1" customHeight="1" x14ac:dyDescent="0.35">
      <c r="A362" s="114" t="str">
        <f>'Sampling Data'!AI362</f>
        <v/>
      </c>
      <c r="B362" s="114" t="str">
        <f>'Sampling Data'!A362</f>
        <v>2509 CIN 25-I   (ED)</v>
      </c>
      <c r="C362" s="114">
        <f>'Sampling Data'!B362</f>
        <v>53</v>
      </c>
      <c r="D362" s="114">
        <f>'Sampling Data'!C362</f>
        <v>44</v>
      </c>
      <c r="E362" s="115">
        <f>'Sampling Data'!D362</f>
        <v>13</v>
      </c>
      <c r="F362" s="115">
        <f>'Sampling Data'!E362</f>
        <v>0</v>
      </c>
      <c r="G362" s="115">
        <f>'Sampling Data'!F362</f>
        <v>0</v>
      </c>
      <c r="H362" s="115">
        <f>'Sampling Data'!G362</f>
        <v>0</v>
      </c>
      <c r="I362" s="115">
        <f>'Sampling Data'!H362</f>
        <v>0</v>
      </c>
      <c r="J362" s="115">
        <f>'Sampling Data'!I362</f>
        <v>0</v>
      </c>
      <c r="K362" s="115">
        <f>'Sampling Data'!J362</f>
        <v>0</v>
      </c>
      <c r="L362" s="115">
        <f>'Sampling Data'!K362</f>
        <v>0</v>
      </c>
      <c r="M362" s="115">
        <f>'Sampling Data'!L362</f>
        <v>0</v>
      </c>
      <c r="N362" s="115">
        <f>'Sampling Data'!M362</f>
        <v>0</v>
      </c>
      <c r="O362" s="114">
        <f>'Sampling Data'!N362</f>
        <v>1</v>
      </c>
      <c r="P362" s="114">
        <f>'Sampling Data'!O362</f>
        <v>0</v>
      </c>
      <c r="Q362" s="114">
        <f>'Sampling Data'!P362</f>
        <v>111</v>
      </c>
      <c r="R362" s="114">
        <f>'Sampling Data'!AJ362</f>
        <v>0</v>
      </c>
      <c r="S362" s="116"/>
      <c r="T362" s="116"/>
      <c r="U362" s="117"/>
      <c r="V362" s="117"/>
      <c r="W362" s="116"/>
      <c r="X362" s="116"/>
      <c r="Y362" s="116"/>
      <c r="Z362" s="116"/>
      <c r="AA362" s="15"/>
      <c r="AB362" s="15"/>
      <c r="AC362" s="15"/>
      <c r="AD362" s="15"/>
      <c r="AE362" s="118" t="str">
        <f>IF(NOT(ISBLANK(Audit[[#This Row],[Audit Winning Candidate]])), Audit[[#This Row],[Audit Winning Candidate]]-Audit[[#This Row],[Winning Candidate]], "")</f>
        <v/>
      </c>
      <c r="AF362" s="114" t="str">
        <f>IF(NOT(ISBLANK(Audit[[#This Row],[Audit Losing Candidate]])), Audit[[#This Row],[Audit Losing Candidate]]-Audit[[#This Row],[Losing Candidate]], "")</f>
        <v/>
      </c>
      <c r="AG362" s="114" t="str">
        <f>IF(NOT(ISBLANK(Audit[[#This Row],[Audit Candidate 3]])), Audit[[#This Row],[Audit Candidate 3]]-Audit[[#This Row],[Candidate 3]], "")</f>
        <v/>
      </c>
      <c r="AH362" s="114" t="str">
        <f>IF(NOT(ISBLANK(Audit[[#This Row],[Audit Candidate 4]])),Audit[[#This Row],[Audit Candidate 4]]-Audit[[#This Row],[Candidate 4]], "")</f>
        <v/>
      </c>
      <c r="AI362" s="114" t="str">
        <f>IF(NOT(ISBLANK(Audit[[#This Row],[Audit Candidate 5]])), Audit[[#This Row],[Audit Candidate 5]]-Audit[[#This Row],[Candidate 5]], "")</f>
        <v/>
      </c>
      <c r="AJ362" s="114" t="str">
        <f>IF(NOT(ISBLANK(Audit[[#This Row],[Audit Candidate 6]])), Audit[[#This Row],[Audit Candidate 6]]-Audit[[#This Row],[Candidate 6]], "")</f>
        <v/>
      </c>
      <c r="AK362" s="114" t="str">
        <f>IF(NOT(ISBLANK(Audit[[#This Row],[Audit Candidate 7]])), Audit[[#This Row],[Audit Candidate 7]]-Audit[[#This Row],[Candidate 7]], "")</f>
        <v/>
      </c>
      <c r="AL362" s="114" t="str">
        <f>IF(NOT(ISBLANK(Audit[[#This Row],[Audit Candidate 8]])), Audit[[#This Row],[Audit Candidate 8]]-Audit[[#This Row],[Candidate 8]], "")</f>
        <v/>
      </c>
      <c r="AM362" s="114" t="str">
        <f>IF(NOT(ISBLANK(Audit[[#This Row],[Audit Candidate 9]])), Audit[[#This Row],[Audit Candidate 9]]-Audit[[#This Row],[Candidate 9]], "")</f>
        <v/>
      </c>
      <c r="AN362" s="114" t="str">
        <f>IF(NOT(ISBLANK(Audit[[#This Row],[Audit Candidate 10]])), Audit[[#This Row],[Audit Candidate 10]]-Audit[[#This Row],[Candidate 10]], "")</f>
        <v/>
      </c>
      <c r="AO362" s="114" t="str">
        <f>IF(NOT(ISBLANK(Audit[[#This Row],[Audit Candidate 11]])), Audit[[#This Row],[Audit Candidate 11]]-Audit[[#This Row],[Candidate 11]], "")</f>
        <v/>
      </c>
      <c r="AP362" s="114" t="str">
        <f>IF(NOT(ISBLANK(Audit[[#This Row],[Audit Candidate 12]])), Audit[[#This Row],[Audit Candidate 12]]-Audit[[#This Row],[Candidate 12]], "")</f>
        <v/>
      </c>
      <c r="AQ362" s="114">
        <f>SUMIF(Audit[[#This Row],[Difference Winner]:[Difference Candidate 12]], "&gt;0")</f>
        <v>0</v>
      </c>
      <c r="AR362" s="114">
        <f>SUM(Audit[[#This Row],[Difference Winner]:[Difference Candidate 12]])</f>
        <v>0</v>
      </c>
      <c r="AS362" s="114">
        <f>IF(Audit[[#This Row],[Times p Drawn - With Replacement]]&gt;0, IF(Audit[[#This Row],[Canceled Differences]]&lt;0, Audit[[#This Row],[Max Differences]]+ABS(Audit[[#This Row],[Canceled Differences]]), Audit[[#This Row],[Max Differences]]), 0)</f>
        <v>0</v>
      </c>
      <c r="AT362" s="114">
        <f>'Sampling Data'!AB362</f>
        <v>8.5233687062542338E-3</v>
      </c>
      <c r="AU362" s="114">
        <f>IF(
      SUM(Audit[[#This Row],[Audit Losing Candidate]:[Audit Candidate 12]])
      &lt;&gt;0,
      (Audit[[#This Row],[Winning Candidate]]-Audit[[#This Row],[Losing Candidate]]-(Audit[[#This Row],[Audit Winning Candidate]]-Audit[[#This Row],[Audit Losing Candidate]]))/(Audit[[#Totals],[Winning Candidate]]-Audit[[#Totals],[Losing Candidate]]),
      0
)</f>
        <v>0</v>
      </c>
      <c r="AV36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2" s="114">
        <f>IF(Audit[[#This Row],[Max Relative Error (ep)]] = 0, 0, Audit[[#This Row],[Max Relative Error (ep)]]/Audit[[#This Row],[Error Bound (up) - Max. possible relative overstatement]])</f>
        <v>0</v>
      </c>
      <c r="BH36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2" s="114">
        <f t="shared" si="6"/>
        <v>1</v>
      </c>
      <c r="BJ362" s="114">
        <f>PRODUCT($BI$5:BI362)</f>
        <v>7.4038944863463699E-2</v>
      </c>
      <c r="BK362" s="112">
        <f>1 - Audit[[#This Row],[K-M P Value]]</f>
        <v>0.92596105513653626</v>
      </c>
      <c r="BL362" s="114" t="str">
        <f>IF(Audit[[#This Row],[K-M P Value]]&gt;1-'General Info'!$B$12,"Continue", "Stop")</f>
        <v>Stop</v>
      </c>
      <c r="BM362" s="113" t="b">
        <f>IF(Audit[[#This Row],[Status - Continue or stop audit]] = "Continue", TRUE, IF(BL361 = "Continue", TRUE, FALSE))</f>
        <v>0</v>
      </c>
      <c r="BN362" s="113"/>
    </row>
    <row r="363" spans="1:66" ht="15" hidden="1" customHeight="1" x14ac:dyDescent="0.35">
      <c r="A363" s="114" t="str">
        <f>'Sampling Data'!AI363</f>
        <v/>
      </c>
      <c r="B363" s="114" t="str">
        <f>'Sampling Data'!A363</f>
        <v>2510 CIN 25-J   (ED)</v>
      </c>
      <c r="C363" s="114">
        <f>'Sampling Data'!B363</f>
        <v>34</v>
      </c>
      <c r="D363" s="114">
        <f>'Sampling Data'!C363</f>
        <v>4</v>
      </c>
      <c r="E363" s="115">
        <f>'Sampling Data'!D363</f>
        <v>2</v>
      </c>
      <c r="F363" s="115">
        <f>'Sampling Data'!E363</f>
        <v>0</v>
      </c>
      <c r="G363" s="115">
        <f>'Sampling Data'!F363</f>
        <v>0</v>
      </c>
      <c r="H363" s="115">
        <f>'Sampling Data'!G363</f>
        <v>0</v>
      </c>
      <c r="I363" s="115">
        <f>'Sampling Data'!H363</f>
        <v>0</v>
      </c>
      <c r="J363" s="115">
        <f>'Sampling Data'!I363</f>
        <v>0</v>
      </c>
      <c r="K363" s="115">
        <f>'Sampling Data'!J363</f>
        <v>0</v>
      </c>
      <c r="L363" s="115">
        <f>'Sampling Data'!K363</f>
        <v>0</v>
      </c>
      <c r="M363" s="115">
        <f>'Sampling Data'!L363</f>
        <v>0</v>
      </c>
      <c r="N363" s="115">
        <f>'Sampling Data'!M363</f>
        <v>0</v>
      </c>
      <c r="O363" s="114">
        <f>'Sampling Data'!N363</f>
        <v>0</v>
      </c>
      <c r="P363" s="114">
        <f>'Sampling Data'!O363</f>
        <v>0</v>
      </c>
      <c r="Q363" s="114">
        <f>'Sampling Data'!P363</f>
        <v>40</v>
      </c>
      <c r="R363" s="114">
        <f>'Sampling Data'!AJ363</f>
        <v>0</v>
      </c>
      <c r="S363" s="116"/>
      <c r="T363" s="116"/>
      <c r="U363" s="117"/>
      <c r="V363" s="117"/>
      <c r="W363" s="116"/>
      <c r="X363" s="116"/>
      <c r="Y363" s="116"/>
      <c r="Z363" s="116"/>
      <c r="AA363" s="15"/>
      <c r="AB363" s="15"/>
      <c r="AC363" s="15"/>
      <c r="AD363" s="15"/>
      <c r="AE363" s="118" t="str">
        <f>IF(NOT(ISBLANK(Audit[[#This Row],[Audit Winning Candidate]])), Audit[[#This Row],[Audit Winning Candidate]]-Audit[[#This Row],[Winning Candidate]], "")</f>
        <v/>
      </c>
      <c r="AF363" s="114" t="str">
        <f>IF(NOT(ISBLANK(Audit[[#This Row],[Audit Losing Candidate]])), Audit[[#This Row],[Audit Losing Candidate]]-Audit[[#This Row],[Losing Candidate]], "")</f>
        <v/>
      </c>
      <c r="AG363" s="114" t="str">
        <f>IF(NOT(ISBLANK(Audit[[#This Row],[Audit Candidate 3]])), Audit[[#This Row],[Audit Candidate 3]]-Audit[[#This Row],[Candidate 3]], "")</f>
        <v/>
      </c>
      <c r="AH363" s="114" t="str">
        <f>IF(NOT(ISBLANK(Audit[[#This Row],[Audit Candidate 4]])),Audit[[#This Row],[Audit Candidate 4]]-Audit[[#This Row],[Candidate 4]], "")</f>
        <v/>
      </c>
      <c r="AI363" s="114" t="str">
        <f>IF(NOT(ISBLANK(Audit[[#This Row],[Audit Candidate 5]])), Audit[[#This Row],[Audit Candidate 5]]-Audit[[#This Row],[Candidate 5]], "")</f>
        <v/>
      </c>
      <c r="AJ363" s="114" t="str">
        <f>IF(NOT(ISBLANK(Audit[[#This Row],[Audit Candidate 6]])), Audit[[#This Row],[Audit Candidate 6]]-Audit[[#This Row],[Candidate 6]], "")</f>
        <v/>
      </c>
      <c r="AK363" s="114" t="str">
        <f>IF(NOT(ISBLANK(Audit[[#This Row],[Audit Candidate 7]])), Audit[[#This Row],[Audit Candidate 7]]-Audit[[#This Row],[Candidate 7]], "")</f>
        <v/>
      </c>
      <c r="AL363" s="114" t="str">
        <f>IF(NOT(ISBLANK(Audit[[#This Row],[Audit Candidate 8]])), Audit[[#This Row],[Audit Candidate 8]]-Audit[[#This Row],[Candidate 8]], "")</f>
        <v/>
      </c>
      <c r="AM363" s="114" t="str">
        <f>IF(NOT(ISBLANK(Audit[[#This Row],[Audit Candidate 9]])), Audit[[#This Row],[Audit Candidate 9]]-Audit[[#This Row],[Candidate 9]], "")</f>
        <v/>
      </c>
      <c r="AN363" s="114" t="str">
        <f>IF(NOT(ISBLANK(Audit[[#This Row],[Audit Candidate 10]])), Audit[[#This Row],[Audit Candidate 10]]-Audit[[#This Row],[Candidate 10]], "")</f>
        <v/>
      </c>
      <c r="AO363" s="114" t="str">
        <f>IF(NOT(ISBLANK(Audit[[#This Row],[Audit Candidate 11]])), Audit[[#This Row],[Audit Candidate 11]]-Audit[[#This Row],[Candidate 11]], "")</f>
        <v/>
      </c>
      <c r="AP363" s="114" t="str">
        <f>IF(NOT(ISBLANK(Audit[[#This Row],[Audit Candidate 12]])), Audit[[#This Row],[Audit Candidate 12]]-Audit[[#This Row],[Candidate 12]], "")</f>
        <v/>
      </c>
      <c r="AQ363" s="114">
        <f>SUMIF(Audit[[#This Row],[Difference Winner]:[Difference Candidate 12]], "&gt;0")</f>
        <v>0</v>
      </c>
      <c r="AR363" s="114">
        <f>SUM(Audit[[#This Row],[Difference Winner]:[Difference Candidate 12]])</f>
        <v>0</v>
      </c>
      <c r="AS363" s="114">
        <f>IF(Audit[[#This Row],[Times p Drawn - With Replacement]]&gt;0, IF(Audit[[#This Row],[Canceled Differences]]&lt;0, Audit[[#This Row],[Max Differences]]+ABS(Audit[[#This Row],[Canceled Differences]]), Audit[[#This Row],[Max Differences]]), 0)</f>
        <v>0</v>
      </c>
      <c r="AT363" s="114">
        <f>'Sampling Data'!AB363</f>
        <v>4.4244990834966186E-3</v>
      </c>
      <c r="AU363" s="114">
        <f>IF(
      SUM(Audit[[#This Row],[Audit Losing Candidate]:[Audit Candidate 12]])
      &lt;&gt;0,
      (Audit[[#This Row],[Winning Candidate]]-Audit[[#This Row],[Losing Candidate]]-(Audit[[#This Row],[Audit Winning Candidate]]-Audit[[#This Row],[Audit Losing Candidate]]))/(Audit[[#Totals],[Winning Candidate]]-Audit[[#Totals],[Losing Candidate]]),
      0
)</f>
        <v>0</v>
      </c>
      <c r="AV36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3" s="114">
        <f>IF(Audit[[#This Row],[Max Relative Error (ep)]] = 0, 0, Audit[[#This Row],[Max Relative Error (ep)]]/Audit[[#This Row],[Error Bound (up) - Max. possible relative overstatement]])</f>
        <v>0</v>
      </c>
      <c r="BH36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3" s="114">
        <f t="shared" si="6"/>
        <v>1</v>
      </c>
      <c r="BJ363" s="114">
        <f>PRODUCT($BI$5:BI363)</f>
        <v>7.4038944863463699E-2</v>
      </c>
      <c r="BK363" s="112">
        <f>1 - Audit[[#This Row],[K-M P Value]]</f>
        <v>0.92596105513653626</v>
      </c>
      <c r="BL363" s="114" t="str">
        <f>IF(Audit[[#This Row],[K-M P Value]]&gt;1-'General Info'!$B$12,"Continue", "Stop")</f>
        <v>Stop</v>
      </c>
      <c r="BM363" s="113" t="b">
        <f>IF(Audit[[#This Row],[Status - Continue or stop audit]] = "Continue", TRUE, IF(BL362 = "Continue", TRUE, FALSE))</f>
        <v>0</v>
      </c>
      <c r="BN363" s="113"/>
    </row>
    <row r="364" spans="1:66" ht="15" hidden="1" customHeight="1" x14ac:dyDescent="0.35">
      <c r="A364" s="114" t="str">
        <f>'Sampling Data'!AI364</f>
        <v/>
      </c>
      <c r="B364" s="114" t="str">
        <f>'Sampling Data'!A364</f>
        <v>2511 CIN 25-K   (ED)</v>
      </c>
      <c r="C364" s="114">
        <f>'Sampling Data'!B364</f>
        <v>59</v>
      </c>
      <c r="D364" s="114">
        <f>'Sampling Data'!C364</f>
        <v>16</v>
      </c>
      <c r="E364" s="115">
        <f>'Sampling Data'!D364</f>
        <v>1</v>
      </c>
      <c r="F364" s="115">
        <f>'Sampling Data'!E364</f>
        <v>0</v>
      </c>
      <c r="G364" s="115">
        <f>'Sampling Data'!F364</f>
        <v>0</v>
      </c>
      <c r="H364" s="115">
        <f>'Sampling Data'!G364</f>
        <v>0</v>
      </c>
      <c r="I364" s="115">
        <f>'Sampling Data'!H364</f>
        <v>0</v>
      </c>
      <c r="J364" s="115">
        <f>'Sampling Data'!I364</f>
        <v>0</v>
      </c>
      <c r="K364" s="115">
        <f>'Sampling Data'!J364</f>
        <v>0</v>
      </c>
      <c r="L364" s="115">
        <f>'Sampling Data'!K364</f>
        <v>0</v>
      </c>
      <c r="M364" s="115">
        <f>'Sampling Data'!L364</f>
        <v>0</v>
      </c>
      <c r="N364" s="115">
        <f>'Sampling Data'!M364</f>
        <v>0</v>
      </c>
      <c r="O364" s="114">
        <f>'Sampling Data'!N364</f>
        <v>0</v>
      </c>
      <c r="P364" s="114">
        <f>'Sampling Data'!O364</f>
        <v>2</v>
      </c>
      <c r="Q364" s="114">
        <f>'Sampling Data'!P364</f>
        <v>78</v>
      </c>
      <c r="R364" s="114">
        <f>'Sampling Data'!AJ364</f>
        <v>0</v>
      </c>
      <c r="S364" s="116"/>
      <c r="T364" s="116"/>
      <c r="U364" s="117"/>
      <c r="V364" s="117"/>
      <c r="W364" s="116"/>
      <c r="X364" s="116"/>
      <c r="Y364" s="116"/>
      <c r="Z364" s="116"/>
      <c r="AA364" s="15"/>
      <c r="AB364" s="15"/>
      <c r="AC364" s="15"/>
      <c r="AD364" s="15"/>
      <c r="AE364" s="118" t="str">
        <f>IF(NOT(ISBLANK(Audit[[#This Row],[Audit Winning Candidate]])), Audit[[#This Row],[Audit Winning Candidate]]-Audit[[#This Row],[Winning Candidate]], "")</f>
        <v/>
      </c>
      <c r="AF364" s="114" t="str">
        <f>IF(NOT(ISBLANK(Audit[[#This Row],[Audit Losing Candidate]])), Audit[[#This Row],[Audit Losing Candidate]]-Audit[[#This Row],[Losing Candidate]], "")</f>
        <v/>
      </c>
      <c r="AG364" s="114" t="str">
        <f>IF(NOT(ISBLANK(Audit[[#This Row],[Audit Candidate 3]])), Audit[[#This Row],[Audit Candidate 3]]-Audit[[#This Row],[Candidate 3]], "")</f>
        <v/>
      </c>
      <c r="AH364" s="114" t="str">
        <f>IF(NOT(ISBLANK(Audit[[#This Row],[Audit Candidate 4]])),Audit[[#This Row],[Audit Candidate 4]]-Audit[[#This Row],[Candidate 4]], "")</f>
        <v/>
      </c>
      <c r="AI364" s="114" t="str">
        <f>IF(NOT(ISBLANK(Audit[[#This Row],[Audit Candidate 5]])), Audit[[#This Row],[Audit Candidate 5]]-Audit[[#This Row],[Candidate 5]], "")</f>
        <v/>
      </c>
      <c r="AJ364" s="114" t="str">
        <f>IF(NOT(ISBLANK(Audit[[#This Row],[Audit Candidate 6]])), Audit[[#This Row],[Audit Candidate 6]]-Audit[[#This Row],[Candidate 6]], "")</f>
        <v/>
      </c>
      <c r="AK364" s="114" t="str">
        <f>IF(NOT(ISBLANK(Audit[[#This Row],[Audit Candidate 7]])), Audit[[#This Row],[Audit Candidate 7]]-Audit[[#This Row],[Candidate 7]], "")</f>
        <v/>
      </c>
      <c r="AL364" s="114" t="str">
        <f>IF(NOT(ISBLANK(Audit[[#This Row],[Audit Candidate 8]])), Audit[[#This Row],[Audit Candidate 8]]-Audit[[#This Row],[Candidate 8]], "")</f>
        <v/>
      </c>
      <c r="AM364" s="114" t="str">
        <f>IF(NOT(ISBLANK(Audit[[#This Row],[Audit Candidate 9]])), Audit[[#This Row],[Audit Candidate 9]]-Audit[[#This Row],[Candidate 9]], "")</f>
        <v/>
      </c>
      <c r="AN364" s="114" t="str">
        <f>IF(NOT(ISBLANK(Audit[[#This Row],[Audit Candidate 10]])), Audit[[#This Row],[Audit Candidate 10]]-Audit[[#This Row],[Candidate 10]], "")</f>
        <v/>
      </c>
      <c r="AO364" s="114" t="str">
        <f>IF(NOT(ISBLANK(Audit[[#This Row],[Audit Candidate 11]])), Audit[[#This Row],[Audit Candidate 11]]-Audit[[#This Row],[Candidate 11]], "")</f>
        <v/>
      </c>
      <c r="AP364" s="114" t="str">
        <f>IF(NOT(ISBLANK(Audit[[#This Row],[Audit Candidate 12]])), Audit[[#This Row],[Audit Candidate 12]]-Audit[[#This Row],[Candidate 12]], "")</f>
        <v/>
      </c>
      <c r="AQ364" s="114">
        <f>SUMIF(Audit[[#This Row],[Difference Winner]:[Difference Candidate 12]], "&gt;0")</f>
        <v>0</v>
      </c>
      <c r="AR364" s="114">
        <f>SUM(Audit[[#This Row],[Difference Winner]:[Difference Candidate 12]])</f>
        <v>0</v>
      </c>
      <c r="AS364" s="114">
        <f>IF(Audit[[#This Row],[Times p Drawn - With Replacement]]&gt;0, IF(Audit[[#This Row],[Canceled Differences]]&lt;0, Audit[[#This Row],[Max Differences]]+ABS(Audit[[#This Row],[Canceled Differences]]), Audit[[#This Row],[Max Differences]]), 0)</f>
        <v>0</v>
      </c>
      <c r="AT364" s="114">
        <f>'Sampling Data'!AB364</f>
        <v>7.6766764506660647E-3</v>
      </c>
      <c r="AU364" s="114">
        <f>IF(
      SUM(Audit[[#This Row],[Audit Losing Candidate]:[Audit Candidate 12]])
      &lt;&gt;0,
      (Audit[[#This Row],[Winning Candidate]]-Audit[[#This Row],[Losing Candidate]]-(Audit[[#This Row],[Audit Winning Candidate]]-Audit[[#This Row],[Audit Losing Candidate]]))/(Audit[[#Totals],[Winning Candidate]]-Audit[[#Totals],[Losing Candidate]]),
      0
)</f>
        <v>0</v>
      </c>
      <c r="AV36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4" s="114">
        <f>IF(Audit[[#This Row],[Max Relative Error (ep)]] = 0, 0, Audit[[#This Row],[Max Relative Error (ep)]]/Audit[[#This Row],[Error Bound (up) - Max. possible relative overstatement]])</f>
        <v>0</v>
      </c>
      <c r="BH36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4" s="114">
        <f t="shared" si="6"/>
        <v>1</v>
      </c>
      <c r="BJ364" s="114">
        <f>PRODUCT($BI$5:BI364)</f>
        <v>7.4038944863463699E-2</v>
      </c>
      <c r="BK364" s="112">
        <f>1 - Audit[[#This Row],[K-M P Value]]</f>
        <v>0.92596105513653626</v>
      </c>
      <c r="BL364" s="114" t="str">
        <f>IF(Audit[[#This Row],[K-M P Value]]&gt;1-'General Info'!$B$12,"Continue", "Stop")</f>
        <v>Stop</v>
      </c>
      <c r="BM364" s="113" t="b">
        <f>IF(Audit[[#This Row],[Status - Continue or stop audit]] = "Continue", TRUE, IF(BL363 = "Continue", TRUE, FALSE))</f>
        <v>0</v>
      </c>
      <c r="BN364" s="113"/>
    </row>
    <row r="365" spans="1:66" ht="15" hidden="1" customHeight="1" x14ac:dyDescent="0.35">
      <c r="A365" s="114" t="str">
        <f>'Sampling Data'!AI365</f>
        <v/>
      </c>
      <c r="B365" s="114" t="str">
        <f>'Sampling Data'!A365</f>
        <v>2512 CIN 25-L   (ED)</v>
      </c>
      <c r="C365" s="114">
        <f>'Sampling Data'!B365</f>
        <v>9</v>
      </c>
      <c r="D365" s="114">
        <f>'Sampling Data'!C365</f>
        <v>2</v>
      </c>
      <c r="E365" s="115">
        <f>'Sampling Data'!D365</f>
        <v>0</v>
      </c>
      <c r="F365" s="115">
        <f>'Sampling Data'!E365</f>
        <v>0</v>
      </c>
      <c r="G365" s="115">
        <f>'Sampling Data'!F365</f>
        <v>0</v>
      </c>
      <c r="H365" s="115">
        <f>'Sampling Data'!G365</f>
        <v>0</v>
      </c>
      <c r="I365" s="115">
        <f>'Sampling Data'!H365</f>
        <v>0</v>
      </c>
      <c r="J365" s="115">
        <f>'Sampling Data'!I365</f>
        <v>0</v>
      </c>
      <c r="K365" s="115">
        <f>'Sampling Data'!J365</f>
        <v>0</v>
      </c>
      <c r="L365" s="115">
        <f>'Sampling Data'!K365</f>
        <v>0</v>
      </c>
      <c r="M365" s="115">
        <f>'Sampling Data'!L365</f>
        <v>0</v>
      </c>
      <c r="N365" s="115">
        <f>'Sampling Data'!M365</f>
        <v>0</v>
      </c>
      <c r="O365" s="114">
        <f>'Sampling Data'!N365</f>
        <v>0</v>
      </c>
      <c r="P365" s="114">
        <f>'Sampling Data'!O365</f>
        <v>0</v>
      </c>
      <c r="Q365" s="114">
        <f>'Sampling Data'!P365</f>
        <v>11</v>
      </c>
      <c r="R365" s="114">
        <f>'Sampling Data'!AJ365</f>
        <v>0</v>
      </c>
      <c r="S365" s="116"/>
      <c r="T365" s="116"/>
      <c r="U365" s="117"/>
      <c r="V365" s="117"/>
      <c r="W365" s="116"/>
      <c r="X365" s="116"/>
      <c r="Y365" s="116"/>
      <c r="Z365" s="116"/>
      <c r="AA365" s="15"/>
      <c r="AB365" s="15"/>
      <c r="AC365" s="15"/>
      <c r="AD365" s="15"/>
      <c r="AE365" s="118" t="str">
        <f>IF(NOT(ISBLANK(Audit[[#This Row],[Audit Winning Candidate]])), Audit[[#This Row],[Audit Winning Candidate]]-Audit[[#This Row],[Winning Candidate]], "")</f>
        <v/>
      </c>
      <c r="AF365" s="114" t="str">
        <f>IF(NOT(ISBLANK(Audit[[#This Row],[Audit Losing Candidate]])), Audit[[#This Row],[Audit Losing Candidate]]-Audit[[#This Row],[Losing Candidate]], "")</f>
        <v/>
      </c>
      <c r="AG365" s="114" t="str">
        <f>IF(NOT(ISBLANK(Audit[[#This Row],[Audit Candidate 3]])), Audit[[#This Row],[Audit Candidate 3]]-Audit[[#This Row],[Candidate 3]], "")</f>
        <v/>
      </c>
      <c r="AH365" s="114" t="str">
        <f>IF(NOT(ISBLANK(Audit[[#This Row],[Audit Candidate 4]])),Audit[[#This Row],[Audit Candidate 4]]-Audit[[#This Row],[Candidate 4]], "")</f>
        <v/>
      </c>
      <c r="AI365" s="114" t="str">
        <f>IF(NOT(ISBLANK(Audit[[#This Row],[Audit Candidate 5]])), Audit[[#This Row],[Audit Candidate 5]]-Audit[[#This Row],[Candidate 5]], "")</f>
        <v/>
      </c>
      <c r="AJ365" s="114" t="str">
        <f>IF(NOT(ISBLANK(Audit[[#This Row],[Audit Candidate 6]])), Audit[[#This Row],[Audit Candidate 6]]-Audit[[#This Row],[Candidate 6]], "")</f>
        <v/>
      </c>
      <c r="AK365" s="114" t="str">
        <f>IF(NOT(ISBLANK(Audit[[#This Row],[Audit Candidate 7]])), Audit[[#This Row],[Audit Candidate 7]]-Audit[[#This Row],[Candidate 7]], "")</f>
        <v/>
      </c>
      <c r="AL365" s="114" t="str">
        <f>IF(NOT(ISBLANK(Audit[[#This Row],[Audit Candidate 8]])), Audit[[#This Row],[Audit Candidate 8]]-Audit[[#This Row],[Candidate 8]], "")</f>
        <v/>
      </c>
      <c r="AM365" s="114" t="str">
        <f>IF(NOT(ISBLANK(Audit[[#This Row],[Audit Candidate 9]])), Audit[[#This Row],[Audit Candidate 9]]-Audit[[#This Row],[Candidate 9]], "")</f>
        <v/>
      </c>
      <c r="AN365" s="114" t="str">
        <f>IF(NOT(ISBLANK(Audit[[#This Row],[Audit Candidate 10]])), Audit[[#This Row],[Audit Candidate 10]]-Audit[[#This Row],[Candidate 10]], "")</f>
        <v/>
      </c>
      <c r="AO365" s="114" t="str">
        <f>IF(NOT(ISBLANK(Audit[[#This Row],[Audit Candidate 11]])), Audit[[#This Row],[Audit Candidate 11]]-Audit[[#This Row],[Candidate 11]], "")</f>
        <v/>
      </c>
      <c r="AP365" s="114" t="str">
        <f>IF(NOT(ISBLANK(Audit[[#This Row],[Audit Candidate 12]])), Audit[[#This Row],[Audit Candidate 12]]-Audit[[#This Row],[Candidate 12]], "")</f>
        <v/>
      </c>
      <c r="AQ365" s="114">
        <f>SUMIF(Audit[[#This Row],[Difference Winner]:[Difference Candidate 12]], "&gt;0")</f>
        <v>0</v>
      </c>
      <c r="AR365" s="114">
        <f>SUM(Audit[[#This Row],[Difference Winner]:[Difference Candidate 12]])</f>
        <v>0</v>
      </c>
      <c r="AS365" s="114">
        <f>IF(Audit[[#This Row],[Times p Drawn - With Replacement]]&gt;0, IF(Audit[[#This Row],[Canceled Differences]]&lt;0, Audit[[#This Row],[Max Differences]]+ABS(Audit[[#This Row],[Canceled Differences]]), Audit[[#This Row],[Max Differences]]), 0)</f>
        <v>0</v>
      </c>
      <c r="AT365" s="114">
        <f>'Sampling Data'!AB365</f>
        <v>1.1377283357562732E-3</v>
      </c>
      <c r="AU365" s="114">
        <f>IF(
      SUM(Audit[[#This Row],[Audit Losing Candidate]:[Audit Candidate 12]])
      &lt;&gt;0,
      (Audit[[#This Row],[Winning Candidate]]-Audit[[#This Row],[Losing Candidate]]-(Audit[[#This Row],[Audit Winning Candidate]]-Audit[[#This Row],[Audit Losing Candidate]]))/(Audit[[#Totals],[Winning Candidate]]-Audit[[#Totals],[Losing Candidate]]),
      0
)</f>
        <v>0</v>
      </c>
      <c r="AV36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5" s="114">
        <f>IF(Audit[[#This Row],[Max Relative Error (ep)]] = 0, 0, Audit[[#This Row],[Max Relative Error (ep)]]/Audit[[#This Row],[Error Bound (up) - Max. possible relative overstatement]])</f>
        <v>0</v>
      </c>
      <c r="BH36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5" s="114">
        <f t="shared" si="6"/>
        <v>1</v>
      </c>
      <c r="BJ365" s="114">
        <f>PRODUCT($BI$5:BI365)</f>
        <v>7.4038944863463699E-2</v>
      </c>
      <c r="BK365" s="112">
        <f>1 - Audit[[#This Row],[K-M P Value]]</f>
        <v>0.92596105513653626</v>
      </c>
      <c r="BL365" s="114" t="str">
        <f>IF(Audit[[#This Row],[K-M P Value]]&gt;1-'General Info'!$B$12,"Continue", "Stop")</f>
        <v>Stop</v>
      </c>
      <c r="BM365" s="113" t="b">
        <f>IF(Audit[[#This Row],[Status - Continue or stop audit]] = "Continue", TRUE, IF(BL364 = "Continue", TRUE, FALSE))</f>
        <v>0</v>
      </c>
      <c r="BN365" s="113"/>
    </row>
    <row r="366" spans="1:66" ht="15" hidden="1" customHeight="1" x14ac:dyDescent="0.35">
      <c r="A366" s="114" t="str">
        <f>'Sampling Data'!AI366</f>
        <v/>
      </c>
      <c r="B366" s="114" t="str">
        <f>'Sampling Data'!A366</f>
        <v>2601 CIN 26-A   (ED)</v>
      </c>
      <c r="C366" s="114">
        <f>'Sampling Data'!B366</f>
        <v>114</v>
      </c>
      <c r="D366" s="114">
        <f>'Sampling Data'!C366</f>
        <v>40</v>
      </c>
      <c r="E366" s="115">
        <f>'Sampling Data'!D366</f>
        <v>19</v>
      </c>
      <c r="F366" s="115">
        <f>'Sampling Data'!E366</f>
        <v>0</v>
      </c>
      <c r="G366" s="115">
        <f>'Sampling Data'!F366</f>
        <v>0</v>
      </c>
      <c r="H366" s="115">
        <f>'Sampling Data'!G366</f>
        <v>0</v>
      </c>
      <c r="I366" s="115">
        <f>'Sampling Data'!H366</f>
        <v>0</v>
      </c>
      <c r="J366" s="115">
        <f>'Sampling Data'!I366</f>
        <v>0</v>
      </c>
      <c r="K366" s="115">
        <f>'Sampling Data'!J366</f>
        <v>0</v>
      </c>
      <c r="L366" s="115">
        <f>'Sampling Data'!K366</f>
        <v>0</v>
      </c>
      <c r="M366" s="115">
        <f>'Sampling Data'!L366</f>
        <v>0</v>
      </c>
      <c r="N366" s="115">
        <f>'Sampling Data'!M366</f>
        <v>0</v>
      </c>
      <c r="O366" s="114">
        <f>'Sampling Data'!N366</f>
        <v>0</v>
      </c>
      <c r="P366" s="114">
        <f>'Sampling Data'!O366</f>
        <v>1</v>
      </c>
      <c r="Q366" s="114">
        <f>'Sampling Data'!P366</f>
        <v>174</v>
      </c>
      <c r="R366" s="114">
        <f>'Sampling Data'!AJ366</f>
        <v>0</v>
      </c>
      <c r="S366" s="116"/>
      <c r="T366" s="116"/>
      <c r="U366" s="117"/>
      <c r="V366" s="117"/>
      <c r="W366" s="116"/>
      <c r="X366" s="116"/>
      <c r="Y366" s="116"/>
      <c r="Z366" s="116"/>
      <c r="AA366" s="15"/>
      <c r="AB366" s="15"/>
      <c r="AC366" s="15"/>
      <c r="AD366" s="15"/>
      <c r="AE366" s="118" t="str">
        <f>IF(NOT(ISBLANK(Audit[[#This Row],[Audit Winning Candidate]])), Audit[[#This Row],[Audit Winning Candidate]]-Audit[[#This Row],[Winning Candidate]], "")</f>
        <v/>
      </c>
      <c r="AF366" s="114" t="str">
        <f>IF(NOT(ISBLANK(Audit[[#This Row],[Audit Losing Candidate]])), Audit[[#This Row],[Audit Losing Candidate]]-Audit[[#This Row],[Losing Candidate]], "")</f>
        <v/>
      </c>
      <c r="AG366" s="114" t="str">
        <f>IF(NOT(ISBLANK(Audit[[#This Row],[Audit Candidate 3]])), Audit[[#This Row],[Audit Candidate 3]]-Audit[[#This Row],[Candidate 3]], "")</f>
        <v/>
      </c>
      <c r="AH366" s="114" t="str">
        <f>IF(NOT(ISBLANK(Audit[[#This Row],[Audit Candidate 4]])),Audit[[#This Row],[Audit Candidate 4]]-Audit[[#This Row],[Candidate 4]], "")</f>
        <v/>
      </c>
      <c r="AI366" s="114" t="str">
        <f>IF(NOT(ISBLANK(Audit[[#This Row],[Audit Candidate 5]])), Audit[[#This Row],[Audit Candidate 5]]-Audit[[#This Row],[Candidate 5]], "")</f>
        <v/>
      </c>
      <c r="AJ366" s="114" t="str">
        <f>IF(NOT(ISBLANK(Audit[[#This Row],[Audit Candidate 6]])), Audit[[#This Row],[Audit Candidate 6]]-Audit[[#This Row],[Candidate 6]], "")</f>
        <v/>
      </c>
      <c r="AK366" s="114" t="str">
        <f>IF(NOT(ISBLANK(Audit[[#This Row],[Audit Candidate 7]])), Audit[[#This Row],[Audit Candidate 7]]-Audit[[#This Row],[Candidate 7]], "")</f>
        <v/>
      </c>
      <c r="AL366" s="114" t="str">
        <f>IF(NOT(ISBLANK(Audit[[#This Row],[Audit Candidate 8]])), Audit[[#This Row],[Audit Candidate 8]]-Audit[[#This Row],[Candidate 8]], "")</f>
        <v/>
      </c>
      <c r="AM366" s="114" t="str">
        <f>IF(NOT(ISBLANK(Audit[[#This Row],[Audit Candidate 9]])), Audit[[#This Row],[Audit Candidate 9]]-Audit[[#This Row],[Candidate 9]], "")</f>
        <v/>
      </c>
      <c r="AN366" s="114" t="str">
        <f>IF(NOT(ISBLANK(Audit[[#This Row],[Audit Candidate 10]])), Audit[[#This Row],[Audit Candidate 10]]-Audit[[#This Row],[Candidate 10]], "")</f>
        <v/>
      </c>
      <c r="AO366" s="114" t="str">
        <f>IF(NOT(ISBLANK(Audit[[#This Row],[Audit Candidate 11]])), Audit[[#This Row],[Audit Candidate 11]]-Audit[[#This Row],[Candidate 11]], "")</f>
        <v/>
      </c>
      <c r="AP366" s="114" t="str">
        <f>IF(NOT(ISBLANK(Audit[[#This Row],[Audit Candidate 12]])), Audit[[#This Row],[Audit Candidate 12]]-Audit[[#This Row],[Candidate 12]], "")</f>
        <v/>
      </c>
      <c r="AQ366" s="114">
        <f>SUMIF(Audit[[#This Row],[Difference Winner]:[Difference Candidate 12]], "&gt;0")</f>
        <v>0</v>
      </c>
      <c r="AR366" s="114">
        <f>SUM(Audit[[#This Row],[Difference Winner]:[Difference Candidate 12]])</f>
        <v>0</v>
      </c>
      <c r="AS366" s="114">
        <f>IF(Audit[[#This Row],[Times p Drawn - With Replacement]]&gt;0, IF(Audit[[#This Row],[Canceled Differences]]&lt;0, Audit[[#This Row],[Max Differences]]+ABS(Audit[[#This Row],[Canceled Differences]]), Audit[[#This Row],[Max Differences]]), 0)</f>
        <v>0</v>
      </c>
      <c r="AT366" s="114">
        <f>'Sampling Data'!AB366</f>
        <v>1.5675368181530876E-2</v>
      </c>
      <c r="AU366" s="114">
        <f>IF(
      SUM(Audit[[#This Row],[Audit Losing Candidate]:[Audit Candidate 12]])
      &lt;&gt;0,
      (Audit[[#This Row],[Winning Candidate]]-Audit[[#This Row],[Losing Candidate]]-(Audit[[#This Row],[Audit Winning Candidate]]-Audit[[#This Row],[Audit Losing Candidate]]))/(Audit[[#Totals],[Winning Candidate]]-Audit[[#Totals],[Losing Candidate]]),
      0
)</f>
        <v>0</v>
      </c>
      <c r="AV36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6" s="114">
        <f>IF(Audit[[#This Row],[Max Relative Error (ep)]] = 0, 0, Audit[[#This Row],[Max Relative Error (ep)]]/Audit[[#This Row],[Error Bound (up) - Max. possible relative overstatement]])</f>
        <v>0</v>
      </c>
      <c r="BH36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6" s="114">
        <f t="shared" si="6"/>
        <v>1</v>
      </c>
      <c r="BJ366" s="114">
        <f>PRODUCT($BI$5:BI366)</f>
        <v>7.4038944863463699E-2</v>
      </c>
      <c r="BK366" s="112">
        <f>1 - Audit[[#This Row],[K-M P Value]]</f>
        <v>0.92596105513653626</v>
      </c>
      <c r="BL366" s="114" t="str">
        <f>IF(Audit[[#This Row],[K-M P Value]]&gt;1-'General Info'!$B$12,"Continue", "Stop")</f>
        <v>Stop</v>
      </c>
      <c r="BM366" s="113" t="b">
        <f>IF(Audit[[#This Row],[Status - Continue or stop audit]] = "Continue", TRUE, IF(BL365 = "Continue", TRUE, FALSE))</f>
        <v>0</v>
      </c>
      <c r="BN366" s="113"/>
    </row>
    <row r="367" spans="1:66" ht="15" hidden="1" customHeight="1" x14ac:dyDescent="0.35">
      <c r="A367" s="114" t="str">
        <f>'Sampling Data'!AI367</f>
        <v/>
      </c>
      <c r="B367" s="114" t="str">
        <f>'Sampling Data'!A367</f>
        <v>2602 CIN 26-B   (ED)</v>
      </c>
      <c r="C367" s="114">
        <f>'Sampling Data'!B367</f>
        <v>73</v>
      </c>
      <c r="D367" s="114">
        <f>'Sampling Data'!C367</f>
        <v>8</v>
      </c>
      <c r="E367" s="115">
        <f>'Sampling Data'!D367</f>
        <v>1</v>
      </c>
      <c r="F367" s="115">
        <f>'Sampling Data'!E367</f>
        <v>0</v>
      </c>
      <c r="G367" s="115">
        <f>'Sampling Data'!F367</f>
        <v>0</v>
      </c>
      <c r="H367" s="115">
        <f>'Sampling Data'!G367</f>
        <v>0</v>
      </c>
      <c r="I367" s="115">
        <f>'Sampling Data'!H367</f>
        <v>0</v>
      </c>
      <c r="J367" s="115">
        <f>'Sampling Data'!I367</f>
        <v>0</v>
      </c>
      <c r="K367" s="115">
        <f>'Sampling Data'!J367</f>
        <v>0</v>
      </c>
      <c r="L367" s="115">
        <f>'Sampling Data'!K367</f>
        <v>0</v>
      </c>
      <c r="M367" s="115">
        <f>'Sampling Data'!L367</f>
        <v>0</v>
      </c>
      <c r="N367" s="115">
        <f>'Sampling Data'!M367</f>
        <v>0</v>
      </c>
      <c r="O367" s="114">
        <f>'Sampling Data'!N367</f>
        <v>0</v>
      </c>
      <c r="P367" s="114">
        <f>'Sampling Data'!O367</f>
        <v>0</v>
      </c>
      <c r="Q367" s="114">
        <f>'Sampling Data'!P367</f>
        <v>82</v>
      </c>
      <c r="R367" s="114">
        <f>'Sampling Data'!AJ367</f>
        <v>0</v>
      </c>
      <c r="S367" s="116"/>
      <c r="T367" s="116"/>
      <c r="U367" s="117"/>
      <c r="V367" s="117"/>
      <c r="W367" s="116"/>
      <c r="X367" s="116"/>
      <c r="Y367" s="116"/>
      <c r="Z367" s="116"/>
      <c r="AA367" s="15"/>
      <c r="AB367" s="15"/>
      <c r="AC367" s="15"/>
      <c r="AD367" s="15"/>
      <c r="AE367" s="118" t="str">
        <f>IF(NOT(ISBLANK(Audit[[#This Row],[Audit Winning Candidate]])), Audit[[#This Row],[Audit Winning Candidate]]-Audit[[#This Row],[Winning Candidate]], "")</f>
        <v/>
      </c>
      <c r="AF367" s="114" t="str">
        <f>IF(NOT(ISBLANK(Audit[[#This Row],[Audit Losing Candidate]])), Audit[[#This Row],[Audit Losing Candidate]]-Audit[[#This Row],[Losing Candidate]], "")</f>
        <v/>
      </c>
      <c r="AG367" s="114" t="str">
        <f>IF(NOT(ISBLANK(Audit[[#This Row],[Audit Candidate 3]])), Audit[[#This Row],[Audit Candidate 3]]-Audit[[#This Row],[Candidate 3]], "")</f>
        <v/>
      </c>
      <c r="AH367" s="114" t="str">
        <f>IF(NOT(ISBLANK(Audit[[#This Row],[Audit Candidate 4]])),Audit[[#This Row],[Audit Candidate 4]]-Audit[[#This Row],[Candidate 4]], "")</f>
        <v/>
      </c>
      <c r="AI367" s="114" t="str">
        <f>IF(NOT(ISBLANK(Audit[[#This Row],[Audit Candidate 5]])), Audit[[#This Row],[Audit Candidate 5]]-Audit[[#This Row],[Candidate 5]], "")</f>
        <v/>
      </c>
      <c r="AJ367" s="114" t="str">
        <f>IF(NOT(ISBLANK(Audit[[#This Row],[Audit Candidate 6]])), Audit[[#This Row],[Audit Candidate 6]]-Audit[[#This Row],[Candidate 6]], "")</f>
        <v/>
      </c>
      <c r="AK367" s="114" t="str">
        <f>IF(NOT(ISBLANK(Audit[[#This Row],[Audit Candidate 7]])), Audit[[#This Row],[Audit Candidate 7]]-Audit[[#This Row],[Candidate 7]], "")</f>
        <v/>
      </c>
      <c r="AL367" s="114" t="str">
        <f>IF(NOT(ISBLANK(Audit[[#This Row],[Audit Candidate 8]])), Audit[[#This Row],[Audit Candidate 8]]-Audit[[#This Row],[Candidate 8]], "")</f>
        <v/>
      </c>
      <c r="AM367" s="114" t="str">
        <f>IF(NOT(ISBLANK(Audit[[#This Row],[Audit Candidate 9]])), Audit[[#This Row],[Audit Candidate 9]]-Audit[[#This Row],[Candidate 9]], "")</f>
        <v/>
      </c>
      <c r="AN367" s="114" t="str">
        <f>IF(NOT(ISBLANK(Audit[[#This Row],[Audit Candidate 10]])), Audit[[#This Row],[Audit Candidate 10]]-Audit[[#This Row],[Candidate 10]], "")</f>
        <v/>
      </c>
      <c r="AO367" s="114" t="str">
        <f>IF(NOT(ISBLANK(Audit[[#This Row],[Audit Candidate 11]])), Audit[[#This Row],[Audit Candidate 11]]-Audit[[#This Row],[Candidate 11]], "")</f>
        <v/>
      </c>
      <c r="AP367" s="114" t="str">
        <f>IF(NOT(ISBLANK(Audit[[#This Row],[Audit Candidate 12]])), Audit[[#This Row],[Audit Candidate 12]]-Audit[[#This Row],[Candidate 12]], "")</f>
        <v/>
      </c>
      <c r="AQ367" s="114">
        <f>SUMIF(Audit[[#This Row],[Difference Winner]:[Difference Candidate 12]], "&gt;0")</f>
        <v>0</v>
      </c>
      <c r="AR367" s="114">
        <f>SUM(Audit[[#This Row],[Difference Winner]:[Difference Candidate 12]])</f>
        <v>0</v>
      </c>
      <c r="AS367" s="114">
        <f>IF(Audit[[#This Row],[Times p Drawn - With Replacement]]&gt;0, IF(Audit[[#This Row],[Canceled Differences]]&lt;0, Audit[[#This Row],[Max Differences]]+ABS(Audit[[#This Row],[Canceled Differences]]), Audit[[#This Row],[Max Differences]]), 0)</f>
        <v>0</v>
      </c>
      <c r="AT367" s="114">
        <f>'Sampling Data'!AB367</f>
        <v>9.2914480753428993E-3</v>
      </c>
      <c r="AU367" s="114">
        <f>IF(
      SUM(Audit[[#This Row],[Audit Losing Candidate]:[Audit Candidate 12]])
      &lt;&gt;0,
      (Audit[[#This Row],[Winning Candidate]]-Audit[[#This Row],[Losing Candidate]]-(Audit[[#This Row],[Audit Winning Candidate]]-Audit[[#This Row],[Audit Losing Candidate]]))/(Audit[[#Totals],[Winning Candidate]]-Audit[[#Totals],[Losing Candidate]]),
      0
)</f>
        <v>0</v>
      </c>
      <c r="AV36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7" s="114">
        <f>IF(Audit[[#This Row],[Max Relative Error (ep)]] = 0, 0, Audit[[#This Row],[Max Relative Error (ep)]]/Audit[[#This Row],[Error Bound (up) - Max. possible relative overstatement]])</f>
        <v>0</v>
      </c>
      <c r="BH36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7" s="114">
        <f t="shared" si="6"/>
        <v>1</v>
      </c>
      <c r="BJ367" s="114">
        <f>PRODUCT($BI$5:BI367)</f>
        <v>7.4038944863463699E-2</v>
      </c>
      <c r="BK367" s="112">
        <f>1 - Audit[[#This Row],[K-M P Value]]</f>
        <v>0.92596105513653626</v>
      </c>
      <c r="BL367" s="114" t="str">
        <f>IF(Audit[[#This Row],[K-M P Value]]&gt;1-'General Info'!$B$12,"Continue", "Stop")</f>
        <v>Stop</v>
      </c>
      <c r="BM367" s="113" t="b">
        <f>IF(Audit[[#This Row],[Status - Continue or stop audit]] = "Continue", TRUE, IF(BL366 = "Continue", TRUE, FALSE))</f>
        <v>0</v>
      </c>
      <c r="BN367" s="113"/>
    </row>
    <row r="368" spans="1:66" ht="15" hidden="1" customHeight="1" x14ac:dyDescent="0.35">
      <c r="A368" s="114" t="str">
        <f>'Sampling Data'!AI368</f>
        <v/>
      </c>
      <c r="B368" s="114" t="str">
        <f>'Sampling Data'!A368</f>
        <v>2603 CIN 26-C   (ED)</v>
      </c>
      <c r="C368" s="114">
        <f>'Sampling Data'!B368</f>
        <v>40</v>
      </c>
      <c r="D368" s="114">
        <f>'Sampling Data'!C368</f>
        <v>12</v>
      </c>
      <c r="E368" s="115">
        <f>'Sampling Data'!D368</f>
        <v>2</v>
      </c>
      <c r="F368" s="115">
        <f>'Sampling Data'!E368</f>
        <v>0</v>
      </c>
      <c r="G368" s="115">
        <f>'Sampling Data'!F368</f>
        <v>0</v>
      </c>
      <c r="H368" s="115">
        <f>'Sampling Data'!G368</f>
        <v>0</v>
      </c>
      <c r="I368" s="115">
        <f>'Sampling Data'!H368</f>
        <v>0</v>
      </c>
      <c r="J368" s="115">
        <f>'Sampling Data'!I368</f>
        <v>0</v>
      </c>
      <c r="K368" s="115">
        <f>'Sampling Data'!J368</f>
        <v>0</v>
      </c>
      <c r="L368" s="115">
        <f>'Sampling Data'!K368</f>
        <v>0</v>
      </c>
      <c r="M368" s="115">
        <f>'Sampling Data'!L368</f>
        <v>0</v>
      </c>
      <c r="N368" s="115">
        <f>'Sampling Data'!M368</f>
        <v>0</v>
      </c>
      <c r="O368" s="114">
        <f>'Sampling Data'!N368</f>
        <v>0</v>
      </c>
      <c r="P368" s="114">
        <f>'Sampling Data'!O368</f>
        <v>0</v>
      </c>
      <c r="Q368" s="114">
        <f>'Sampling Data'!P368</f>
        <v>54</v>
      </c>
      <c r="R368" s="114">
        <f>'Sampling Data'!AJ368</f>
        <v>0</v>
      </c>
      <c r="S368" s="116"/>
      <c r="T368" s="116"/>
      <c r="U368" s="117"/>
      <c r="V368" s="117"/>
      <c r="W368" s="116"/>
      <c r="X368" s="116"/>
      <c r="Y368" s="116"/>
      <c r="Z368" s="116"/>
      <c r="AA368" s="15"/>
      <c r="AB368" s="15"/>
      <c r="AC368" s="15"/>
      <c r="AD368" s="15"/>
      <c r="AE368" s="118" t="str">
        <f>IF(NOT(ISBLANK(Audit[[#This Row],[Audit Winning Candidate]])), Audit[[#This Row],[Audit Winning Candidate]]-Audit[[#This Row],[Winning Candidate]], "")</f>
        <v/>
      </c>
      <c r="AF368" s="114" t="str">
        <f>IF(NOT(ISBLANK(Audit[[#This Row],[Audit Losing Candidate]])), Audit[[#This Row],[Audit Losing Candidate]]-Audit[[#This Row],[Losing Candidate]], "")</f>
        <v/>
      </c>
      <c r="AG368" s="114" t="str">
        <f>IF(NOT(ISBLANK(Audit[[#This Row],[Audit Candidate 3]])), Audit[[#This Row],[Audit Candidate 3]]-Audit[[#This Row],[Candidate 3]], "")</f>
        <v/>
      </c>
      <c r="AH368" s="114" t="str">
        <f>IF(NOT(ISBLANK(Audit[[#This Row],[Audit Candidate 4]])),Audit[[#This Row],[Audit Candidate 4]]-Audit[[#This Row],[Candidate 4]], "")</f>
        <v/>
      </c>
      <c r="AI368" s="114" t="str">
        <f>IF(NOT(ISBLANK(Audit[[#This Row],[Audit Candidate 5]])), Audit[[#This Row],[Audit Candidate 5]]-Audit[[#This Row],[Candidate 5]], "")</f>
        <v/>
      </c>
      <c r="AJ368" s="114" t="str">
        <f>IF(NOT(ISBLANK(Audit[[#This Row],[Audit Candidate 6]])), Audit[[#This Row],[Audit Candidate 6]]-Audit[[#This Row],[Candidate 6]], "")</f>
        <v/>
      </c>
      <c r="AK368" s="114" t="str">
        <f>IF(NOT(ISBLANK(Audit[[#This Row],[Audit Candidate 7]])), Audit[[#This Row],[Audit Candidate 7]]-Audit[[#This Row],[Candidate 7]], "")</f>
        <v/>
      </c>
      <c r="AL368" s="114" t="str">
        <f>IF(NOT(ISBLANK(Audit[[#This Row],[Audit Candidate 8]])), Audit[[#This Row],[Audit Candidate 8]]-Audit[[#This Row],[Candidate 8]], "")</f>
        <v/>
      </c>
      <c r="AM368" s="114" t="str">
        <f>IF(NOT(ISBLANK(Audit[[#This Row],[Audit Candidate 9]])), Audit[[#This Row],[Audit Candidate 9]]-Audit[[#This Row],[Candidate 9]], "")</f>
        <v/>
      </c>
      <c r="AN368" s="114" t="str">
        <f>IF(NOT(ISBLANK(Audit[[#This Row],[Audit Candidate 10]])), Audit[[#This Row],[Audit Candidate 10]]-Audit[[#This Row],[Candidate 10]], "")</f>
        <v/>
      </c>
      <c r="AO368" s="114" t="str">
        <f>IF(NOT(ISBLANK(Audit[[#This Row],[Audit Candidate 11]])), Audit[[#This Row],[Audit Candidate 11]]-Audit[[#This Row],[Candidate 11]], "")</f>
        <v/>
      </c>
      <c r="AP368" s="114" t="str">
        <f>IF(NOT(ISBLANK(Audit[[#This Row],[Audit Candidate 12]])), Audit[[#This Row],[Audit Candidate 12]]-Audit[[#This Row],[Candidate 12]], "")</f>
        <v/>
      </c>
      <c r="AQ368" s="114">
        <f>SUMIF(Audit[[#This Row],[Difference Winner]:[Difference Candidate 12]], "&gt;0")</f>
        <v>0</v>
      </c>
      <c r="AR368" s="114">
        <f>SUM(Audit[[#This Row],[Difference Winner]:[Difference Candidate 12]])</f>
        <v>0</v>
      </c>
      <c r="AS368" s="114">
        <f>IF(Audit[[#This Row],[Times p Drawn - With Replacement]]&gt;0, IF(Audit[[#This Row],[Canceled Differences]]&lt;0, Audit[[#This Row],[Max Differences]]+ABS(Audit[[#This Row],[Canceled Differences]]), Audit[[#This Row],[Max Differences]]), 0)</f>
        <v>0</v>
      </c>
      <c r="AT368" s="114">
        <f>'Sampling Data'!AB368</f>
        <v>5.1930458342741024E-3</v>
      </c>
      <c r="AU368" s="114">
        <f>IF(
      SUM(Audit[[#This Row],[Audit Losing Candidate]:[Audit Candidate 12]])
      &lt;&gt;0,
      (Audit[[#This Row],[Winning Candidate]]-Audit[[#This Row],[Losing Candidate]]-(Audit[[#This Row],[Audit Winning Candidate]]-Audit[[#This Row],[Audit Losing Candidate]]))/(Audit[[#Totals],[Winning Candidate]]-Audit[[#Totals],[Losing Candidate]]),
      0
)</f>
        <v>0</v>
      </c>
      <c r="AV36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8" s="114">
        <f>IF(Audit[[#This Row],[Max Relative Error (ep)]] = 0, 0, Audit[[#This Row],[Max Relative Error (ep)]]/Audit[[#This Row],[Error Bound (up) - Max. possible relative overstatement]])</f>
        <v>0</v>
      </c>
      <c r="BH36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8" s="114">
        <f t="shared" si="6"/>
        <v>1</v>
      </c>
      <c r="BJ368" s="114">
        <f>PRODUCT($BI$5:BI368)</f>
        <v>7.4038944863463699E-2</v>
      </c>
      <c r="BK368" s="112">
        <f>1 - Audit[[#This Row],[K-M P Value]]</f>
        <v>0.92596105513653626</v>
      </c>
      <c r="BL368" s="114" t="str">
        <f>IF(Audit[[#This Row],[K-M P Value]]&gt;1-'General Info'!$B$12,"Continue", "Stop")</f>
        <v>Stop</v>
      </c>
      <c r="BM368" s="113" t="b">
        <f>IF(Audit[[#This Row],[Status - Continue or stop audit]] = "Continue", TRUE, IF(BL367 = "Continue", TRUE, FALSE))</f>
        <v>0</v>
      </c>
      <c r="BN368" s="113"/>
    </row>
    <row r="369" spans="1:66" ht="15" hidden="1" customHeight="1" x14ac:dyDescent="0.35">
      <c r="A369" s="114" t="str">
        <f>'Sampling Data'!AI369</f>
        <v/>
      </c>
      <c r="B369" s="114" t="str">
        <f>'Sampling Data'!A369</f>
        <v>2604 CIN 26-D   (ED)</v>
      </c>
      <c r="C369" s="114">
        <f>'Sampling Data'!B369</f>
        <v>21</v>
      </c>
      <c r="D369" s="114">
        <f>'Sampling Data'!C369</f>
        <v>6</v>
      </c>
      <c r="E369" s="115">
        <f>'Sampling Data'!D369</f>
        <v>1</v>
      </c>
      <c r="F369" s="115">
        <f>'Sampling Data'!E369</f>
        <v>0</v>
      </c>
      <c r="G369" s="115">
        <f>'Sampling Data'!F369</f>
        <v>0</v>
      </c>
      <c r="H369" s="115">
        <f>'Sampling Data'!G369</f>
        <v>0</v>
      </c>
      <c r="I369" s="115">
        <f>'Sampling Data'!H369</f>
        <v>0</v>
      </c>
      <c r="J369" s="115">
        <f>'Sampling Data'!I369</f>
        <v>0</v>
      </c>
      <c r="K369" s="115">
        <f>'Sampling Data'!J369</f>
        <v>0</v>
      </c>
      <c r="L369" s="115">
        <f>'Sampling Data'!K369</f>
        <v>0</v>
      </c>
      <c r="M369" s="115">
        <f>'Sampling Data'!L369</f>
        <v>0</v>
      </c>
      <c r="N369" s="115">
        <f>'Sampling Data'!M369</f>
        <v>0</v>
      </c>
      <c r="O369" s="114">
        <f>'Sampling Data'!N369</f>
        <v>0</v>
      </c>
      <c r="P369" s="114">
        <f>'Sampling Data'!O369</f>
        <v>0</v>
      </c>
      <c r="Q369" s="114">
        <f>'Sampling Data'!P369</f>
        <v>28</v>
      </c>
      <c r="R369" s="114">
        <f>'Sampling Data'!AJ369</f>
        <v>0</v>
      </c>
      <c r="S369" s="116"/>
      <c r="T369" s="116"/>
      <c r="U369" s="117"/>
      <c r="V369" s="117"/>
      <c r="W369" s="116"/>
      <c r="X369" s="116"/>
      <c r="Y369" s="116"/>
      <c r="Z369" s="116"/>
      <c r="AA369" s="15"/>
      <c r="AB369" s="15"/>
      <c r="AC369" s="15"/>
      <c r="AD369" s="15"/>
      <c r="AE369" s="118" t="str">
        <f>IF(NOT(ISBLANK(Audit[[#This Row],[Audit Winning Candidate]])), Audit[[#This Row],[Audit Winning Candidate]]-Audit[[#This Row],[Winning Candidate]], "")</f>
        <v/>
      </c>
      <c r="AF369" s="114" t="str">
        <f>IF(NOT(ISBLANK(Audit[[#This Row],[Audit Losing Candidate]])), Audit[[#This Row],[Audit Losing Candidate]]-Audit[[#This Row],[Losing Candidate]], "")</f>
        <v/>
      </c>
      <c r="AG369" s="114" t="str">
        <f>IF(NOT(ISBLANK(Audit[[#This Row],[Audit Candidate 3]])), Audit[[#This Row],[Audit Candidate 3]]-Audit[[#This Row],[Candidate 3]], "")</f>
        <v/>
      </c>
      <c r="AH369" s="114" t="str">
        <f>IF(NOT(ISBLANK(Audit[[#This Row],[Audit Candidate 4]])),Audit[[#This Row],[Audit Candidate 4]]-Audit[[#This Row],[Candidate 4]], "")</f>
        <v/>
      </c>
      <c r="AI369" s="114" t="str">
        <f>IF(NOT(ISBLANK(Audit[[#This Row],[Audit Candidate 5]])), Audit[[#This Row],[Audit Candidate 5]]-Audit[[#This Row],[Candidate 5]], "")</f>
        <v/>
      </c>
      <c r="AJ369" s="114" t="str">
        <f>IF(NOT(ISBLANK(Audit[[#This Row],[Audit Candidate 6]])), Audit[[#This Row],[Audit Candidate 6]]-Audit[[#This Row],[Candidate 6]], "")</f>
        <v/>
      </c>
      <c r="AK369" s="114" t="str">
        <f>IF(NOT(ISBLANK(Audit[[#This Row],[Audit Candidate 7]])), Audit[[#This Row],[Audit Candidate 7]]-Audit[[#This Row],[Candidate 7]], "")</f>
        <v/>
      </c>
      <c r="AL369" s="114" t="str">
        <f>IF(NOT(ISBLANK(Audit[[#This Row],[Audit Candidate 8]])), Audit[[#This Row],[Audit Candidate 8]]-Audit[[#This Row],[Candidate 8]], "")</f>
        <v/>
      </c>
      <c r="AM369" s="114" t="str">
        <f>IF(NOT(ISBLANK(Audit[[#This Row],[Audit Candidate 9]])), Audit[[#This Row],[Audit Candidate 9]]-Audit[[#This Row],[Candidate 9]], "")</f>
        <v/>
      </c>
      <c r="AN369" s="114" t="str">
        <f>IF(NOT(ISBLANK(Audit[[#This Row],[Audit Candidate 10]])), Audit[[#This Row],[Audit Candidate 10]]-Audit[[#This Row],[Candidate 10]], "")</f>
        <v/>
      </c>
      <c r="AO369" s="114" t="str">
        <f>IF(NOT(ISBLANK(Audit[[#This Row],[Audit Candidate 11]])), Audit[[#This Row],[Audit Candidate 11]]-Audit[[#This Row],[Candidate 11]], "")</f>
        <v/>
      </c>
      <c r="AP369" s="114" t="str">
        <f>IF(NOT(ISBLANK(Audit[[#This Row],[Audit Candidate 12]])), Audit[[#This Row],[Audit Candidate 12]]-Audit[[#This Row],[Candidate 12]], "")</f>
        <v/>
      </c>
      <c r="AQ369" s="114">
        <f>SUMIF(Audit[[#This Row],[Difference Winner]:[Difference Candidate 12]], "&gt;0")</f>
        <v>0</v>
      </c>
      <c r="AR369" s="114">
        <f>SUM(Audit[[#This Row],[Difference Winner]:[Difference Candidate 12]])</f>
        <v>0</v>
      </c>
      <c r="AS369" s="114">
        <f>IF(Audit[[#This Row],[Times p Drawn - With Replacement]]&gt;0, IF(Audit[[#This Row],[Canceled Differences]]&lt;0, Audit[[#This Row],[Max Differences]]+ABS(Audit[[#This Row],[Canceled Differences]]), Audit[[#This Row],[Max Differences]]), 0)</f>
        <v>0</v>
      </c>
      <c r="AT369" s="114">
        <f>'Sampling Data'!AB369</f>
        <v>2.7179065798622086E-3</v>
      </c>
      <c r="AU369" s="114">
        <f>IF(
      SUM(Audit[[#This Row],[Audit Losing Candidate]:[Audit Candidate 12]])
      &lt;&gt;0,
      (Audit[[#This Row],[Winning Candidate]]-Audit[[#This Row],[Losing Candidate]]-(Audit[[#This Row],[Audit Winning Candidate]]-Audit[[#This Row],[Audit Losing Candidate]]))/(Audit[[#Totals],[Winning Candidate]]-Audit[[#Totals],[Losing Candidate]]),
      0
)</f>
        <v>0</v>
      </c>
      <c r="AV36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9" s="114">
        <f>IF(Audit[[#This Row],[Max Relative Error (ep)]] = 0, 0, Audit[[#This Row],[Max Relative Error (ep)]]/Audit[[#This Row],[Error Bound (up) - Max. possible relative overstatement]])</f>
        <v>0</v>
      </c>
      <c r="BH36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69" s="114">
        <f t="shared" si="6"/>
        <v>1</v>
      </c>
      <c r="BJ369" s="114">
        <f>PRODUCT($BI$5:BI369)</f>
        <v>7.4038944863463699E-2</v>
      </c>
      <c r="BK369" s="112">
        <f>1 - Audit[[#This Row],[K-M P Value]]</f>
        <v>0.92596105513653626</v>
      </c>
      <c r="BL369" s="114" t="str">
        <f>IF(Audit[[#This Row],[K-M P Value]]&gt;1-'General Info'!$B$12,"Continue", "Stop")</f>
        <v>Stop</v>
      </c>
      <c r="BM369" s="113" t="b">
        <f>IF(Audit[[#This Row],[Status - Continue or stop audit]] = "Continue", TRUE, IF(BL368 = "Continue", TRUE, FALSE))</f>
        <v>0</v>
      </c>
      <c r="BN369" s="113"/>
    </row>
    <row r="370" spans="1:66" ht="15" hidden="1" customHeight="1" x14ac:dyDescent="0.35">
      <c r="A370" s="114" t="str">
        <f>'Sampling Data'!AI370</f>
        <v/>
      </c>
      <c r="B370" s="114" t="str">
        <f>'Sampling Data'!A370</f>
        <v>2605 CIN 26-E   (ED)</v>
      </c>
      <c r="C370" s="114">
        <f>'Sampling Data'!B370</f>
        <v>39</v>
      </c>
      <c r="D370" s="114">
        <f>'Sampling Data'!C370</f>
        <v>3</v>
      </c>
      <c r="E370" s="115">
        <f>'Sampling Data'!D370</f>
        <v>0</v>
      </c>
      <c r="F370" s="115">
        <f>'Sampling Data'!E370</f>
        <v>0</v>
      </c>
      <c r="G370" s="115">
        <f>'Sampling Data'!F370</f>
        <v>0</v>
      </c>
      <c r="H370" s="115">
        <f>'Sampling Data'!G370</f>
        <v>0</v>
      </c>
      <c r="I370" s="115">
        <f>'Sampling Data'!H370</f>
        <v>0</v>
      </c>
      <c r="J370" s="115">
        <f>'Sampling Data'!I370</f>
        <v>0</v>
      </c>
      <c r="K370" s="115">
        <f>'Sampling Data'!J370</f>
        <v>0</v>
      </c>
      <c r="L370" s="115">
        <f>'Sampling Data'!K370</f>
        <v>0</v>
      </c>
      <c r="M370" s="115">
        <f>'Sampling Data'!L370</f>
        <v>0</v>
      </c>
      <c r="N370" s="115">
        <f>'Sampling Data'!M370</f>
        <v>0</v>
      </c>
      <c r="O370" s="114">
        <f>'Sampling Data'!N370</f>
        <v>0</v>
      </c>
      <c r="P370" s="114">
        <f>'Sampling Data'!O370</f>
        <v>0</v>
      </c>
      <c r="Q370" s="114">
        <f>'Sampling Data'!P370</f>
        <v>42</v>
      </c>
      <c r="R370" s="114">
        <f>'Sampling Data'!AJ370</f>
        <v>0</v>
      </c>
      <c r="S370" s="116"/>
      <c r="T370" s="116"/>
      <c r="U370" s="117"/>
      <c r="V370" s="117"/>
      <c r="W370" s="116"/>
      <c r="X370" s="116"/>
      <c r="Y370" s="116"/>
      <c r="Z370" s="116"/>
      <c r="AA370" s="15"/>
      <c r="AB370" s="15"/>
      <c r="AC370" s="15"/>
      <c r="AD370" s="15"/>
      <c r="AE370" s="118" t="str">
        <f>IF(NOT(ISBLANK(Audit[[#This Row],[Audit Winning Candidate]])), Audit[[#This Row],[Audit Winning Candidate]]-Audit[[#This Row],[Winning Candidate]], "")</f>
        <v/>
      </c>
      <c r="AF370" s="114" t="str">
        <f>IF(NOT(ISBLANK(Audit[[#This Row],[Audit Losing Candidate]])), Audit[[#This Row],[Audit Losing Candidate]]-Audit[[#This Row],[Losing Candidate]], "")</f>
        <v/>
      </c>
      <c r="AG370" s="114" t="str">
        <f>IF(NOT(ISBLANK(Audit[[#This Row],[Audit Candidate 3]])), Audit[[#This Row],[Audit Candidate 3]]-Audit[[#This Row],[Candidate 3]], "")</f>
        <v/>
      </c>
      <c r="AH370" s="114" t="str">
        <f>IF(NOT(ISBLANK(Audit[[#This Row],[Audit Candidate 4]])),Audit[[#This Row],[Audit Candidate 4]]-Audit[[#This Row],[Candidate 4]], "")</f>
        <v/>
      </c>
      <c r="AI370" s="114" t="str">
        <f>IF(NOT(ISBLANK(Audit[[#This Row],[Audit Candidate 5]])), Audit[[#This Row],[Audit Candidate 5]]-Audit[[#This Row],[Candidate 5]], "")</f>
        <v/>
      </c>
      <c r="AJ370" s="114" t="str">
        <f>IF(NOT(ISBLANK(Audit[[#This Row],[Audit Candidate 6]])), Audit[[#This Row],[Audit Candidate 6]]-Audit[[#This Row],[Candidate 6]], "")</f>
        <v/>
      </c>
      <c r="AK370" s="114" t="str">
        <f>IF(NOT(ISBLANK(Audit[[#This Row],[Audit Candidate 7]])), Audit[[#This Row],[Audit Candidate 7]]-Audit[[#This Row],[Candidate 7]], "")</f>
        <v/>
      </c>
      <c r="AL370" s="114" t="str">
        <f>IF(NOT(ISBLANK(Audit[[#This Row],[Audit Candidate 8]])), Audit[[#This Row],[Audit Candidate 8]]-Audit[[#This Row],[Candidate 8]], "")</f>
        <v/>
      </c>
      <c r="AM370" s="114" t="str">
        <f>IF(NOT(ISBLANK(Audit[[#This Row],[Audit Candidate 9]])), Audit[[#This Row],[Audit Candidate 9]]-Audit[[#This Row],[Candidate 9]], "")</f>
        <v/>
      </c>
      <c r="AN370" s="114" t="str">
        <f>IF(NOT(ISBLANK(Audit[[#This Row],[Audit Candidate 10]])), Audit[[#This Row],[Audit Candidate 10]]-Audit[[#This Row],[Candidate 10]], "")</f>
        <v/>
      </c>
      <c r="AO370" s="114" t="str">
        <f>IF(NOT(ISBLANK(Audit[[#This Row],[Audit Candidate 11]])), Audit[[#This Row],[Audit Candidate 11]]-Audit[[#This Row],[Candidate 11]], "")</f>
        <v/>
      </c>
      <c r="AP370" s="114" t="str">
        <f>IF(NOT(ISBLANK(Audit[[#This Row],[Audit Candidate 12]])), Audit[[#This Row],[Audit Candidate 12]]-Audit[[#This Row],[Candidate 12]], "")</f>
        <v/>
      </c>
      <c r="AQ370" s="114">
        <f>SUMIF(Audit[[#This Row],[Difference Winner]:[Difference Candidate 12]], "&gt;0")</f>
        <v>0</v>
      </c>
      <c r="AR370" s="114">
        <f>SUM(Audit[[#This Row],[Difference Winner]:[Difference Candidate 12]])</f>
        <v>0</v>
      </c>
      <c r="AS370" s="114">
        <f>IF(Audit[[#This Row],[Times p Drawn - With Replacement]]&gt;0, IF(Audit[[#This Row],[Canceled Differences]]&lt;0, Audit[[#This Row],[Max Differences]]+ABS(Audit[[#This Row],[Canceled Differences]]), Audit[[#This Row],[Max Differences]]), 0)</f>
        <v>0</v>
      </c>
      <c r="AT370" s="114">
        <f>'Sampling Data'!AB370</f>
        <v>4.9301561216105174E-3</v>
      </c>
      <c r="AU370" s="114">
        <f>IF(
      SUM(Audit[[#This Row],[Audit Losing Candidate]:[Audit Candidate 12]])
      &lt;&gt;0,
      (Audit[[#This Row],[Winning Candidate]]-Audit[[#This Row],[Losing Candidate]]-(Audit[[#This Row],[Audit Winning Candidate]]-Audit[[#This Row],[Audit Losing Candidate]]))/(Audit[[#Totals],[Winning Candidate]]-Audit[[#Totals],[Losing Candidate]]),
      0
)</f>
        <v>0</v>
      </c>
      <c r="AV37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0" s="114">
        <f>IF(Audit[[#This Row],[Max Relative Error (ep)]] = 0, 0, Audit[[#This Row],[Max Relative Error (ep)]]/Audit[[#This Row],[Error Bound (up) - Max. possible relative overstatement]])</f>
        <v>0</v>
      </c>
      <c r="BH37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0" s="114">
        <f t="shared" si="6"/>
        <v>1</v>
      </c>
      <c r="BJ370" s="114">
        <f>PRODUCT($BI$5:BI370)</f>
        <v>7.4038944863463699E-2</v>
      </c>
      <c r="BK370" s="112">
        <f>1 - Audit[[#This Row],[K-M P Value]]</f>
        <v>0.92596105513653626</v>
      </c>
      <c r="BL370" s="114" t="str">
        <f>IF(Audit[[#This Row],[K-M P Value]]&gt;1-'General Info'!$B$12,"Continue", "Stop")</f>
        <v>Stop</v>
      </c>
      <c r="BM370" s="113" t="b">
        <f>IF(Audit[[#This Row],[Status - Continue or stop audit]] = "Continue", TRUE, IF(BL369 = "Continue", TRUE, FALSE))</f>
        <v>0</v>
      </c>
      <c r="BN370" s="113"/>
    </row>
    <row r="371" spans="1:66" ht="15" hidden="1" customHeight="1" x14ac:dyDescent="0.35">
      <c r="A371" s="114" t="str">
        <f>'Sampling Data'!AI371</f>
        <v/>
      </c>
      <c r="B371" s="114" t="str">
        <f>'Sampling Data'!A371</f>
        <v>2606 CIN 26-F   (ED)</v>
      </c>
      <c r="C371" s="114">
        <f>'Sampling Data'!B371</f>
        <v>26</v>
      </c>
      <c r="D371" s="114">
        <f>'Sampling Data'!C371</f>
        <v>3</v>
      </c>
      <c r="E371" s="115">
        <f>'Sampling Data'!D371</f>
        <v>0</v>
      </c>
      <c r="F371" s="115">
        <f>'Sampling Data'!E371</f>
        <v>0</v>
      </c>
      <c r="G371" s="115">
        <f>'Sampling Data'!F371</f>
        <v>0</v>
      </c>
      <c r="H371" s="115">
        <f>'Sampling Data'!G371</f>
        <v>0</v>
      </c>
      <c r="I371" s="115">
        <f>'Sampling Data'!H371</f>
        <v>0</v>
      </c>
      <c r="J371" s="115">
        <f>'Sampling Data'!I371</f>
        <v>0</v>
      </c>
      <c r="K371" s="115">
        <f>'Sampling Data'!J371</f>
        <v>0</v>
      </c>
      <c r="L371" s="115">
        <f>'Sampling Data'!K371</f>
        <v>0</v>
      </c>
      <c r="M371" s="115">
        <f>'Sampling Data'!L371</f>
        <v>0</v>
      </c>
      <c r="N371" s="115">
        <f>'Sampling Data'!M371</f>
        <v>0</v>
      </c>
      <c r="O371" s="114">
        <f>'Sampling Data'!N371</f>
        <v>0</v>
      </c>
      <c r="P371" s="114">
        <f>'Sampling Data'!O371</f>
        <v>0</v>
      </c>
      <c r="Q371" s="114">
        <f>'Sampling Data'!P371</f>
        <v>29</v>
      </c>
      <c r="R371" s="114">
        <f>'Sampling Data'!AJ371</f>
        <v>0</v>
      </c>
      <c r="S371" s="116"/>
      <c r="T371" s="116"/>
      <c r="U371" s="117"/>
      <c r="V371" s="117"/>
      <c r="W371" s="116"/>
      <c r="X371" s="116"/>
      <c r="Y371" s="116"/>
      <c r="Z371" s="116"/>
      <c r="AA371" s="15"/>
      <c r="AB371" s="15"/>
      <c r="AC371" s="15"/>
      <c r="AD371" s="15"/>
      <c r="AE371" s="118" t="str">
        <f>IF(NOT(ISBLANK(Audit[[#This Row],[Audit Winning Candidate]])), Audit[[#This Row],[Audit Winning Candidate]]-Audit[[#This Row],[Winning Candidate]], "")</f>
        <v/>
      </c>
      <c r="AF371" s="114" t="str">
        <f>IF(NOT(ISBLANK(Audit[[#This Row],[Audit Losing Candidate]])), Audit[[#This Row],[Audit Losing Candidate]]-Audit[[#This Row],[Losing Candidate]], "")</f>
        <v/>
      </c>
      <c r="AG371" s="114" t="str">
        <f>IF(NOT(ISBLANK(Audit[[#This Row],[Audit Candidate 3]])), Audit[[#This Row],[Audit Candidate 3]]-Audit[[#This Row],[Candidate 3]], "")</f>
        <v/>
      </c>
      <c r="AH371" s="114" t="str">
        <f>IF(NOT(ISBLANK(Audit[[#This Row],[Audit Candidate 4]])),Audit[[#This Row],[Audit Candidate 4]]-Audit[[#This Row],[Candidate 4]], "")</f>
        <v/>
      </c>
      <c r="AI371" s="114" t="str">
        <f>IF(NOT(ISBLANK(Audit[[#This Row],[Audit Candidate 5]])), Audit[[#This Row],[Audit Candidate 5]]-Audit[[#This Row],[Candidate 5]], "")</f>
        <v/>
      </c>
      <c r="AJ371" s="114" t="str">
        <f>IF(NOT(ISBLANK(Audit[[#This Row],[Audit Candidate 6]])), Audit[[#This Row],[Audit Candidate 6]]-Audit[[#This Row],[Candidate 6]], "")</f>
        <v/>
      </c>
      <c r="AK371" s="114" t="str">
        <f>IF(NOT(ISBLANK(Audit[[#This Row],[Audit Candidate 7]])), Audit[[#This Row],[Audit Candidate 7]]-Audit[[#This Row],[Candidate 7]], "")</f>
        <v/>
      </c>
      <c r="AL371" s="114" t="str">
        <f>IF(NOT(ISBLANK(Audit[[#This Row],[Audit Candidate 8]])), Audit[[#This Row],[Audit Candidate 8]]-Audit[[#This Row],[Candidate 8]], "")</f>
        <v/>
      </c>
      <c r="AM371" s="114" t="str">
        <f>IF(NOT(ISBLANK(Audit[[#This Row],[Audit Candidate 9]])), Audit[[#This Row],[Audit Candidate 9]]-Audit[[#This Row],[Candidate 9]], "")</f>
        <v/>
      </c>
      <c r="AN371" s="114" t="str">
        <f>IF(NOT(ISBLANK(Audit[[#This Row],[Audit Candidate 10]])), Audit[[#This Row],[Audit Candidate 10]]-Audit[[#This Row],[Candidate 10]], "")</f>
        <v/>
      </c>
      <c r="AO371" s="114" t="str">
        <f>IF(NOT(ISBLANK(Audit[[#This Row],[Audit Candidate 11]])), Audit[[#This Row],[Audit Candidate 11]]-Audit[[#This Row],[Candidate 11]], "")</f>
        <v/>
      </c>
      <c r="AP371" s="114" t="str">
        <f>IF(NOT(ISBLANK(Audit[[#This Row],[Audit Candidate 12]])), Audit[[#This Row],[Audit Candidate 12]]-Audit[[#This Row],[Candidate 12]], "")</f>
        <v/>
      </c>
      <c r="AQ371" s="114">
        <f>SUMIF(Audit[[#This Row],[Difference Winner]:[Difference Candidate 12]], "&gt;0")</f>
        <v>0</v>
      </c>
      <c r="AR371" s="114">
        <f>SUM(Audit[[#This Row],[Difference Winner]:[Difference Candidate 12]])</f>
        <v>0</v>
      </c>
      <c r="AS371" s="114">
        <f>IF(Audit[[#This Row],[Times p Drawn - With Replacement]]&gt;0, IF(Audit[[#This Row],[Canceled Differences]]&lt;0, Audit[[#This Row],[Max Differences]]+ABS(Audit[[#This Row],[Canceled Differences]]), Audit[[#This Row],[Max Differences]]), 0)</f>
        <v>0</v>
      </c>
      <c r="AT371" s="114">
        <f>'Sampling Data'!AB371</f>
        <v>3.286770747740345E-3</v>
      </c>
      <c r="AU371" s="114">
        <f>IF(
      SUM(Audit[[#This Row],[Audit Losing Candidate]:[Audit Candidate 12]])
      &lt;&gt;0,
      (Audit[[#This Row],[Winning Candidate]]-Audit[[#This Row],[Losing Candidate]]-(Audit[[#This Row],[Audit Winning Candidate]]-Audit[[#This Row],[Audit Losing Candidate]]))/(Audit[[#Totals],[Winning Candidate]]-Audit[[#Totals],[Losing Candidate]]),
      0
)</f>
        <v>0</v>
      </c>
      <c r="AV37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1" s="114">
        <f>IF(Audit[[#This Row],[Max Relative Error (ep)]] = 0, 0, Audit[[#This Row],[Max Relative Error (ep)]]/Audit[[#This Row],[Error Bound (up) - Max. possible relative overstatement]])</f>
        <v>0</v>
      </c>
      <c r="BH37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1" s="114">
        <f t="shared" si="6"/>
        <v>1</v>
      </c>
      <c r="BJ371" s="114">
        <f>PRODUCT($BI$5:BI371)</f>
        <v>7.4038944863463699E-2</v>
      </c>
      <c r="BK371" s="112">
        <f>1 - Audit[[#This Row],[K-M P Value]]</f>
        <v>0.92596105513653626</v>
      </c>
      <c r="BL371" s="114" t="str">
        <f>IF(Audit[[#This Row],[K-M P Value]]&gt;1-'General Info'!$B$12,"Continue", "Stop")</f>
        <v>Stop</v>
      </c>
      <c r="BM371" s="113" t="b">
        <f>IF(Audit[[#This Row],[Status - Continue or stop audit]] = "Continue", TRUE, IF(BL370 = "Continue", TRUE, FALSE))</f>
        <v>0</v>
      </c>
      <c r="BN371" s="113"/>
    </row>
    <row r="372" spans="1:66" ht="15" hidden="1" customHeight="1" x14ac:dyDescent="0.35">
      <c r="A372" s="114" t="str">
        <f>'Sampling Data'!AI372</f>
        <v/>
      </c>
      <c r="B372" s="114" t="str">
        <f>'Sampling Data'!A372</f>
        <v>2607 CIN 26-G   (ED)</v>
      </c>
      <c r="C372" s="114">
        <f>'Sampling Data'!B372</f>
        <v>39</v>
      </c>
      <c r="D372" s="114">
        <f>'Sampling Data'!C372</f>
        <v>14</v>
      </c>
      <c r="E372" s="115">
        <f>'Sampling Data'!D372</f>
        <v>6</v>
      </c>
      <c r="F372" s="115">
        <f>'Sampling Data'!E372</f>
        <v>0</v>
      </c>
      <c r="G372" s="115">
        <f>'Sampling Data'!F372</f>
        <v>0</v>
      </c>
      <c r="H372" s="115">
        <f>'Sampling Data'!G372</f>
        <v>0</v>
      </c>
      <c r="I372" s="115">
        <f>'Sampling Data'!H372</f>
        <v>0</v>
      </c>
      <c r="J372" s="115">
        <f>'Sampling Data'!I372</f>
        <v>0</v>
      </c>
      <c r="K372" s="115">
        <f>'Sampling Data'!J372</f>
        <v>0</v>
      </c>
      <c r="L372" s="115">
        <f>'Sampling Data'!K372</f>
        <v>0</v>
      </c>
      <c r="M372" s="115">
        <f>'Sampling Data'!L372</f>
        <v>0</v>
      </c>
      <c r="N372" s="115">
        <f>'Sampling Data'!M372</f>
        <v>0</v>
      </c>
      <c r="O372" s="114">
        <f>'Sampling Data'!N372</f>
        <v>0</v>
      </c>
      <c r="P372" s="114">
        <f>'Sampling Data'!O372</f>
        <v>1</v>
      </c>
      <c r="Q372" s="114">
        <f>'Sampling Data'!P372</f>
        <v>60</v>
      </c>
      <c r="R372" s="114">
        <f>'Sampling Data'!AJ372</f>
        <v>0</v>
      </c>
      <c r="S372" s="116"/>
      <c r="T372" s="116"/>
      <c r="U372" s="117"/>
      <c r="V372" s="117"/>
      <c r="W372" s="116"/>
      <c r="X372" s="116"/>
      <c r="Y372" s="116"/>
      <c r="Z372" s="116"/>
      <c r="AA372" s="15"/>
      <c r="AB372" s="15"/>
      <c r="AC372" s="15"/>
      <c r="AD372" s="15"/>
      <c r="AE372" s="118" t="str">
        <f>IF(NOT(ISBLANK(Audit[[#This Row],[Audit Winning Candidate]])), Audit[[#This Row],[Audit Winning Candidate]]-Audit[[#This Row],[Winning Candidate]], "")</f>
        <v/>
      </c>
      <c r="AF372" s="114" t="str">
        <f>IF(NOT(ISBLANK(Audit[[#This Row],[Audit Losing Candidate]])), Audit[[#This Row],[Audit Losing Candidate]]-Audit[[#This Row],[Losing Candidate]], "")</f>
        <v/>
      </c>
      <c r="AG372" s="114" t="str">
        <f>IF(NOT(ISBLANK(Audit[[#This Row],[Audit Candidate 3]])), Audit[[#This Row],[Audit Candidate 3]]-Audit[[#This Row],[Candidate 3]], "")</f>
        <v/>
      </c>
      <c r="AH372" s="114" t="str">
        <f>IF(NOT(ISBLANK(Audit[[#This Row],[Audit Candidate 4]])),Audit[[#This Row],[Audit Candidate 4]]-Audit[[#This Row],[Candidate 4]], "")</f>
        <v/>
      </c>
      <c r="AI372" s="114" t="str">
        <f>IF(NOT(ISBLANK(Audit[[#This Row],[Audit Candidate 5]])), Audit[[#This Row],[Audit Candidate 5]]-Audit[[#This Row],[Candidate 5]], "")</f>
        <v/>
      </c>
      <c r="AJ372" s="114" t="str">
        <f>IF(NOT(ISBLANK(Audit[[#This Row],[Audit Candidate 6]])), Audit[[#This Row],[Audit Candidate 6]]-Audit[[#This Row],[Candidate 6]], "")</f>
        <v/>
      </c>
      <c r="AK372" s="114" t="str">
        <f>IF(NOT(ISBLANK(Audit[[#This Row],[Audit Candidate 7]])), Audit[[#This Row],[Audit Candidate 7]]-Audit[[#This Row],[Candidate 7]], "")</f>
        <v/>
      </c>
      <c r="AL372" s="114" t="str">
        <f>IF(NOT(ISBLANK(Audit[[#This Row],[Audit Candidate 8]])), Audit[[#This Row],[Audit Candidate 8]]-Audit[[#This Row],[Candidate 8]], "")</f>
        <v/>
      </c>
      <c r="AM372" s="114" t="str">
        <f>IF(NOT(ISBLANK(Audit[[#This Row],[Audit Candidate 9]])), Audit[[#This Row],[Audit Candidate 9]]-Audit[[#This Row],[Candidate 9]], "")</f>
        <v/>
      </c>
      <c r="AN372" s="114" t="str">
        <f>IF(NOT(ISBLANK(Audit[[#This Row],[Audit Candidate 10]])), Audit[[#This Row],[Audit Candidate 10]]-Audit[[#This Row],[Candidate 10]], "")</f>
        <v/>
      </c>
      <c r="AO372" s="114" t="str">
        <f>IF(NOT(ISBLANK(Audit[[#This Row],[Audit Candidate 11]])), Audit[[#This Row],[Audit Candidate 11]]-Audit[[#This Row],[Candidate 11]], "")</f>
        <v/>
      </c>
      <c r="AP372" s="114" t="str">
        <f>IF(NOT(ISBLANK(Audit[[#This Row],[Audit Candidate 12]])), Audit[[#This Row],[Audit Candidate 12]]-Audit[[#This Row],[Candidate 12]], "")</f>
        <v/>
      </c>
      <c r="AQ372" s="114">
        <f>SUMIF(Audit[[#This Row],[Difference Winner]:[Difference Candidate 12]], "&gt;0")</f>
        <v>0</v>
      </c>
      <c r="AR372" s="114">
        <f>SUM(Audit[[#This Row],[Difference Winner]:[Difference Candidate 12]])</f>
        <v>0</v>
      </c>
      <c r="AS372" s="114">
        <f>IF(Audit[[#This Row],[Times p Drawn - With Replacement]]&gt;0, IF(Audit[[#This Row],[Canceled Differences]]&lt;0, Audit[[#This Row],[Max Differences]]+ABS(Audit[[#This Row],[Canceled Differences]]), Audit[[#This Row],[Max Differences]]), 0)</f>
        <v>0</v>
      </c>
      <c r="AT372" s="114">
        <f>'Sampling Data'!AB372</f>
        <v>5.3726060299601796E-3</v>
      </c>
      <c r="AU372" s="114">
        <f>IF(
      SUM(Audit[[#This Row],[Audit Losing Candidate]:[Audit Candidate 12]])
      &lt;&gt;0,
      (Audit[[#This Row],[Winning Candidate]]-Audit[[#This Row],[Losing Candidate]]-(Audit[[#This Row],[Audit Winning Candidate]]-Audit[[#This Row],[Audit Losing Candidate]]))/(Audit[[#Totals],[Winning Candidate]]-Audit[[#Totals],[Losing Candidate]]),
      0
)</f>
        <v>0</v>
      </c>
      <c r="AV37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2" s="114">
        <f>IF(Audit[[#This Row],[Max Relative Error (ep)]] = 0, 0, Audit[[#This Row],[Max Relative Error (ep)]]/Audit[[#This Row],[Error Bound (up) - Max. possible relative overstatement]])</f>
        <v>0</v>
      </c>
      <c r="BH37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2" s="114">
        <f t="shared" si="6"/>
        <v>1</v>
      </c>
      <c r="BJ372" s="114">
        <f>PRODUCT($BI$5:BI372)</f>
        <v>7.4038944863463699E-2</v>
      </c>
      <c r="BK372" s="112">
        <f>1 - Audit[[#This Row],[K-M P Value]]</f>
        <v>0.92596105513653626</v>
      </c>
      <c r="BL372" s="114" t="str">
        <f>IF(Audit[[#This Row],[K-M P Value]]&gt;1-'General Info'!$B$12,"Continue", "Stop")</f>
        <v>Stop</v>
      </c>
      <c r="BM372" s="113" t="b">
        <f>IF(Audit[[#This Row],[Status - Continue or stop audit]] = "Continue", TRUE, IF(BL371 = "Continue", TRUE, FALSE))</f>
        <v>0</v>
      </c>
      <c r="BN372" s="113"/>
    </row>
    <row r="373" spans="1:66" ht="15" hidden="1" customHeight="1" x14ac:dyDescent="0.35">
      <c r="A373" s="114" t="str">
        <f>'Sampling Data'!AI373</f>
        <v/>
      </c>
      <c r="B373" s="114" t="str">
        <f>'Sampling Data'!A373</f>
        <v>2608 CIN 26-H   (ED)</v>
      </c>
      <c r="C373" s="114">
        <f>'Sampling Data'!B373</f>
        <v>8</v>
      </c>
      <c r="D373" s="114">
        <f>'Sampling Data'!C373</f>
        <v>1</v>
      </c>
      <c r="E373" s="115">
        <f>'Sampling Data'!D373</f>
        <v>1</v>
      </c>
      <c r="F373" s="115">
        <f>'Sampling Data'!E373</f>
        <v>0</v>
      </c>
      <c r="G373" s="115">
        <f>'Sampling Data'!F373</f>
        <v>0</v>
      </c>
      <c r="H373" s="115">
        <f>'Sampling Data'!G373</f>
        <v>0</v>
      </c>
      <c r="I373" s="115">
        <f>'Sampling Data'!H373</f>
        <v>0</v>
      </c>
      <c r="J373" s="115">
        <f>'Sampling Data'!I373</f>
        <v>0</v>
      </c>
      <c r="K373" s="115">
        <f>'Sampling Data'!J373</f>
        <v>0</v>
      </c>
      <c r="L373" s="115">
        <f>'Sampling Data'!K373</f>
        <v>0</v>
      </c>
      <c r="M373" s="115">
        <f>'Sampling Data'!L373</f>
        <v>0</v>
      </c>
      <c r="N373" s="115">
        <f>'Sampling Data'!M373</f>
        <v>0</v>
      </c>
      <c r="O373" s="114">
        <f>'Sampling Data'!N373</f>
        <v>0</v>
      </c>
      <c r="P373" s="114">
        <f>'Sampling Data'!O373</f>
        <v>0</v>
      </c>
      <c r="Q373" s="114">
        <f>'Sampling Data'!P373</f>
        <v>10</v>
      </c>
      <c r="R373" s="114">
        <f>'Sampling Data'!AJ373</f>
        <v>0</v>
      </c>
      <c r="S373" s="116"/>
      <c r="T373" s="116"/>
      <c r="U373" s="117"/>
      <c r="V373" s="117"/>
      <c r="W373" s="116"/>
      <c r="X373" s="116"/>
      <c r="Y373" s="116"/>
      <c r="Z373" s="116"/>
      <c r="AA373" s="15"/>
      <c r="AB373" s="15"/>
      <c r="AC373" s="15"/>
      <c r="AD373" s="15"/>
      <c r="AE373" s="118" t="str">
        <f>IF(NOT(ISBLANK(Audit[[#This Row],[Audit Winning Candidate]])), Audit[[#This Row],[Audit Winning Candidate]]-Audit[[#This Row],[Winning Candidate]], "")</f>
        <v/>
      </c>
      <c r="AF373" s="114" t="str">
        <f>IF(NOT(ISBLANK(Audit[[#This Row],[Audit Losing Candidate]])), Audit[[#This Row],[Audit Losing Candidate]]-Audit[[#This Row],[Losing Candidate]], "")</f>
        <v/>
      </c>
      <c r="AG373" s="114" t="str">
        <f>IF(NOT(ISBLANK(Audit[[#This Row],[Audit Candidate 3]])), Audit[[#This Row],[Audit Candidate 3]]-Audit[[#This Row],[Candidate 3]], "")</f>
        <v/>
      </c>
      <c r="AH373" s="114" t="str">
        <f>IF(NOT(ISBLANK(Audit[[#This Row],[Audit Candidate 4]])),Audit[[#This Row],[Audit Candidate 4]]-Audit[[#This Row],[Candidate 4]], "")</f>
        <v/>
      </c>
      <c r="AI373" s="114" t="str">
        <f>IF(NOT(ISBLANK(Audit[[#This Row],[Audit Candidate 5]])), Audit[[#This Row],[Audit Candidate 5]]-Audit[[#This Row],[Candidate 5]], "")</f>
        <v/>
      </c>
      <c r="AJ373" s="114" t="str">
        <f>IF(NOT(ISBLANK(Audit[[#This Row],[Audit Candidate 6]])), Audit[[#This Row],[Audit Candidate 6]]-Audit[[#This Row],[Candidate 6]], "")</f>
        <v/>
      </c>
      <c r="AK373" s="114" t="str">
        <f>IF(NOT(ISBLANK(Audit[[#This Row],[Audit Candidate 7]])), Audit[[#This Row],[Audit Candidate 7]]-Audit[[#This Row],[Candidate 7]], "")</f>
        <v/>
      </c>
      <c r="AL373" s="114" t="str">
        <f>IF(NOT(ISBLANK(Audit[[#This Row],[Audit Candidate 8]])), Audit[[#This Row],[Audit Candidate 8]]-Audit[[#This Row],[Candidate 8]], "")</f>
        <v/>
      </c>
      <c r="AM373" s="114" t="str">
        <f>IF(NOT(ISBLANK(Audit[[#This Row],[Audit Candidate 9]])), Audit[[#This Row],[Audit Candidate 9]]-Audit[[#This Row],[Candidate 9]], "")</f>
        <v/>
      </c>
      <c r="AN373" s="114" t="str">
        <f>IF(NOT(ISBLANK(Audit[[#This Row],[Audit Candidate 10]])), Audit[[#This Row],[Audit Candidate 10]]-Audit[[#This Row],[Candidate 10]], "")</f>
        <v/>
      </c>
      <c r="AO373" s="114" t="str">
        <f>IF(NOT(ISBLANK(Audit[[#This Row],[Audit Candidate 11]])), Audit[[#This Row],[Audit Candidate 11]]-Audit[[#This Row],[Candidate 11]], "")</f>
        <v/>
      </c>
      <c r="AP373" s="114" t="str">
        <f>IF(NOT(ISBLANK(Audit[[#This Row],[Audit Candidate 12]])), Audit[[#This Row],[Audit Candidate 12]]-Audit[[#This Row],[Candidate 12]], "")</f>
        <v/>
      </c>
      <c r="AQ373" s="114">
        <f>SUMIF(Audit[[#This Row],[Difference Winner]:[Difference Candidate 12]], "&gt;0")</f>
        <v>0</v>
      </c>
      <c r="AR373" s="114">
        <f>SUM(Audit[[#This Row],[Difference Winner]:[Difference Candidate 12]])</f>
        <v>0</v>
      </c>
      <c r="AS373" s="114">
        <f>IF(Audit[[#This Row],[Times p Drawn - With Replacement]]&gt;0, IF(Audit[[#This Row],[Canceled Differences]]&lt;0, Audit[[#This Row],[Max Differences]]+ABS(Audit[[#This Row],[Canceled Differences]]), Audit[[#This Row],[Max Differences]]), 0)</f>
        <v>0</v>
      </c>
      <c r="AT373" s="114">
        <f>'Sampling Data'!AB373</f>
        <v>1.0745212059920359E-3</v>
      </c>
      <c r="AU373" s="114">
        <f>IF(
      SUM(Audit[[#This Row],[Audit Losing Candidate]:[Audit Candidate 12]])
      &lt;&gt;0,
      (Audit[[#This Row],[Winning Candidate]]-Audit[[#This Row],[Losing Candidate]]-(Audit[[#This Row],[Audit Winning Candidate]]-Audit[[#This Row],[Audit Losing Candidate]]))/(Audit[[#Totals],[Winning Candidate]]-Audit[[#Totals],[Losing Candidate]]),
      0
)</f>
        <v>0</v>
      </c>
      <c r="AV37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3" s="114">
        <f>IF(Audit[[#This Row],[Max Relative Error (ep)]] = 0, 0, Audit[[#This Row],[Max Relative Error (ep)]]/Audit[[#This Row],[Error Bound (up) - Max. possible relative overstatement]])</f>
        <v>0</v>
      </c>
      <c r="BH37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3" s="114">
        <f t="shared" si="6"/>
        <v>1</v>
      </c>
      <c r="BJ373" s="114">
        <f>PRODUCT($BI$5:BI373)</f>
        <v>7.4038944863463699E-2</v>
      </c>
      <c r="BK373" s="112">
        <f>1 - Audit[[#This Row],[K-M P Value]]</f>
        <v>0.92596105513653626</v>
      </c>
      <c r="BL373" s="114" t="str">
        <f>IF(Audit[[#This Row],[K-M P Value]]&gt;1-'General Info'!$B$12,"Continue", "Stop")</f>
        <v>Stop</v>
      </c>
      <c r="BM373" s="113" t="b">
        <f>IF(Audit[[#This Row],[Status - Continue or stop audit]] = "Continue", TRUE, IF(BL372 = "Continue", TRUE, FALSE))</f>
        <v>0</v>
      </c>
      <c r="BN373" s="113"/>
    </row>
    <row r="374" spans="1:66" ht="15" hidden="1" customHeight="1" x14ac:dyDescent="0.35">
      <c r="A374" s="114" t="str">
        <f>'Sampling Data'!AI374</f>
        <v/>
      </c>
      <c r="B374" s="114" t="str">
        <f>'Sampling Data'!A374</f>
        <v>2609 CIN 26-I   (ED)</v>
      </c>
      <c r="C374" s="114">
        <f>'Sampling Data'!B374</f>
        <v>68</v>
      </c>
      <c r="D374" s="114">
        <f>'Sampling Data'!C374</f>
        <v>21</v>
      </c>
      <c r="E374" s="115">
        <f>'Sampling Data'!D374</f>
        <v>5</v>
      </c>
      <c r="F374" s="115">
        <f>'Sampling Data'!E374</f>
        <v>0</v>
      </c>
      <c r="G374" s="115">
        <f>'Sampling Data'!F374</f>
        <v>0</v>
      </c>
      <c r="H374" s="115">
        <f>'Sampling Data'!G374</f>
        <v>0</v>
      </c>
      <c r="I374" s="115">
        <f>'Sampling Data'!H374</f>
        <v>0</v>
      </c>
      <c r="J374" s="115">
        <f>'Sampling Data'!I374</f>
        <v>0</v>
      </c>
      <c r="K374" s="115">
        <f>'Sampling Data'!J374</f>
        <v>0</v>
      </c>
      <c r="L374" s="115">
        <f>'Sampling Data'!K374</f>
        <v>0</v>
      </c>
      <c r="M374" s="115">
        <f>'Sampling Data'!L374</f>
        <v>0</v>
      </c>
      <c r="N374" s="115">
        <f>'Sampling Data'!M374</f>
        <v>0</v>
      </c>
      <c r="O374" s="114">
        <f>'Sampling Data'!N374</f>
        <v>0</v>
      </c>
      <c r="P374" s="114">
        <f>'Sampling Data'!O374</f>
        <v>1</v>
      </c>
      <c r="Q374" s="114">
        <f>'Sampling Data'!P374</f>
        <v>95</v>
      </c>
      <c r="R374" s="114">
        <f>'Sampling Data'!AJ374</f>
        <v>0</v>
      </c>
      <c r="S374" s="116"/>
      <c r="T374" s="116"/>
      <c r="U374" s="117"/>
      <c r="V374" s="117"/>
      <c r="W374" s="116"/>
      <c r="X374" s="116"/>
      <c r="Y374" s="116"/>
      <c r="Z374" s="116"/>
      <c r="AA374" s="15"/>
      <c r="AB374" s="15"/>
      <c r="AC374" s="15"/>
      <c r="AD374" s="15"/>
      <c r="AE374" s="118" t="str">
        <f>IF(NOT(ISBLANK(Audit[[#This Row],[Audit Winning Candidate]])), Audit[[#This Row],[Audit Winning Candidate]]-Audit[[#This Row],[Winning Candidate]], "")</f>
        <v/>
      </c>
      <c r="AF374" s="114" t="str">
        <f>IF(NOT(ISBLANK(Audit[[#This Row],[Audit Losing Candidate]])), Audit[[#This Row],[Audit Losing Candidate]]-Audit[[#This Row],[Losing Candidate]], "")</f>
        <v/>
      </c>
      <c r="AG374" s="114" t="str">
        <f>IF(NOT(ISBLANK(Audit[[#This Row],[Audit Candidate 3]])), Audit[[#This Row],[Audit Candidate 3]]-Audit[[#This Row],[Candidate 3]], "")</f>
        <v/>
      </c>
      <c r="AH374" s="114" t="str">
        <f>IF(NOT(ISBLANK(Audit[[#This Row],[Audit Candidate 4]])),Audit[[#This Row],[Audit Candidate 4]]-Audit[[#This Row],[Candidate 4]], "")</f>
        <v/>
      </c>
      <c r="AI374" s="114" t="str">
        <f>IF(NOT(ISBLANK(Audit[[#This Row],[Audit Candidate 5]])), Audit[[#This Row],[Audit Candidate 5]]-Audit[[#This Row],[Candidate 5]], "")</f>
        <v/>
      </c>
      <c r="AJ374" s="114" t="str">
        <f>IF(NOT(ISBLANK(Audit[[#This Row],[Audit Candidate 6]])), Audit[[#This Row],[Audit Candidate 6]]-Audit[[#This Row],[Candidate 6]], "")</f>
        <v/>
      </c>
      <c r="AK374" s="114" t="str">
        <f>IF(NOT(ISBLANK(Audit[[#This Row],[Audit Candidate 7]])), Audit[[#This Row],[Audit Candidate 7]]-Audit[[#This Row],[Candidate 7]], "")</f>
        <v/>
      </c>
      <c r="AL374" s="114" t="str">
        <f>IF(NOT(ISBLANK(Audit[[#This Row],[Audit Candidate 8]])), Audit[[#This Row],[Audit Candidate 8]]-Audit[[#This Row],[Candidate 8]], "")</f>
        <v/>
      </c>
      <c r="AM374" s="114" t="str">
        <f>IF(NOT(ISBLANK(Audit[[#This Row],[Audit Candidate 9]])), Audit[[#This Row],[Audit Candidate 9]]-Audit[[#This Row],[Candidate 9]], "")</f>
        <v/>
      </c>
      <c r="AN374" s="114" t="str">
        <f>IF(NOT(ISBLANK(Audit[[#This Row],[Audit Candidate 10]])), Audit[[#This Row],[Audit Candidate 10]]-Audit[[#This Row],[Candidate 10]], "")</f>
        <v/>
      </c>
      <c r="AO374" s="114" t="str">
        <f>IF(NOT(ISBLANK(Audit[[#This Row],[Audit Candidate 11]])), Audit[[#This Row],[Audit Candidate 11]]-Audit[[#This Row],[Candidate 11]], "")</f>
        <v/>
      </c>
      <c r="AP374" s="114" t="str">
        <f>IF(NOT(ISBLANK(Audit[[#This Row],[Audit Candidate 12]])), Audit[[#This Row],[Audit Candidate 12]]-Audit[[#This Row],[Candidate 12]], "")</f>
        <v/>
      </c>
      <c r="AQ374" s="114">
        <f>SUMIF(Audit[[#This Row],[Difference Winner]:[Difference Candidate 12]], "&gt;0")</f>
        <v>0</v>
      </c>
      <c r="AR374" s="114">
        <f>SUM(Audit[[#This Row],[Difference Winner]:[Difference Candidate 12]])</f>
        <v>0</v>
      </c>
      <c r="AS374" s="114">
        <f>IF(Audit[[#This Row],[Times p Drawn - With Replacement]]&gt;0, IF(Audit[[#This Row],[Canceled Differences]]&lt;0, Audit[[#This Row],[Max Differences]]+ABS(Audit[[#This Row],[Canceled Differences]]), Audit[[#This Row],[Max Differences]]), 0)</f>
        <v>0</v>
      </c>
      <c r="AT374" s="114">
        <f>'Sampling Data'!AB374</f>
        <v>8.9754124265217124E-3</v>
      </c>
      <c r="AU374" s="114">
        <f>IF(
      SUM(Audit[[#This Row],[Audit Losing Candidate]:[Audit Candidate 12]])
      &lt;&gt;0,
      (Audit[[#This Row],[Winning Candidate]]-Audit[[#This Row],[Losing Candidate]]-(Audit[[#This Row],[Audit Winning Candidate]]-Audit[[#This Row],[Audit Losing Candidate]]))/(Audit[[#Totals],[Winning Candidate]]-Audit[[#Totals],[Losing Candidate]]),
      0
)</f>
        <v>0</v>
      </c>
      <c r="AV37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4" s="114">
        <f>IF(Audit[[#This Row],[Max Relative Error (ep)]] = 0, 0, Audit[[#This Row],[Max Relative Error (ep)]]/Audit[[#This Row],[Error Bound (up) - Max. possible relative overstatement]])</f>
        <v>0</v>
      </c>
      <c r="BH37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4" s="114">
        <f t="shared" si="6"/>
        <v>1</v>
      </c>
      <c r="BJ374" s="114">
        <f>PRODUCT($BI$5:BI374)</f>
        <v>7.4038944863463699E-2</v>
      </c>
      <c r="BK374" s="112">
        <f>1 - Audit[[#This Row],[K-M P Value]]</f>
        <v>0.92596105513653626</v>
      </c>
      <c r="BL374" s="114" t="str">
        <f>IF(Audit[[#This Row],[K-M P Value]]&gt;1-'General Info'!$B$12,"Continue", "Stop")</f>
        <v>Stop</v>
      </c>
      <c r="BM374" s="113" t="b">
        <f>IF(Audit[[#This Row],[Status - Continue or stop audit]] = "Continue", TRUE, IF(BL373 = "Continue", TRUE, FALSE))</f>
        <v>0</v>
      </c>
      <c r="BN374" s="113"/>
    </row>
    <row r="375" spans="1:66" ht="15" hidden="1" customHeight="1" x14ac:dyDescent="0.35">
      <c r="A375" s="114" t="str">
        <f>'Sampling Data'!AI375</f>
        <v/>
      </c>
      <c r="B375" s="114" t="str">
        <f>'Sampling Data'!A375</f>
        <v>2610 CIN 26-J   (ED)</v>
      </c>
      <c r="C375" s="114">
        <f>'Sampling Data'!B375</f>
        <v>61</v>
      </c>
      <c r="D375" s="114">
        <f>'Sampling Data'!C375</f>
        <v>8</v>
      </c>
      <c r="E375" s="115">
        <f>'Sampling Data'!D375</f>
        <v>0</v>
      </c>
      <c r="F375" s="115">
        <f>'Sampling Data'!E375</f>
        <v>0</v>
      </c>
      <c r="G375" s="115">
        <f>'Sampling Data'!F375</f>
        <v>0</v>
      </c>
      <c r="H375" s="115">
        <f>'Sampling Data'!G375</f>
        <v>0</v>
      </c>
      <c r="I375" s="115">
        <f>'Sampling Data'!H375</f>
        <v>0</v>
      </c>
      <c r="J375" s="115">
        <f>'Sampling Data'!I375</f>
        <v>0</v>
      </c>
      <c r="K375" s="115">
        <f>'Sampling Data'!J375</f>
        <v>0</v>
      </c>
      <c r="L375" s="115">
        <f>'Sampling Data'!K375</f>
        <v>0</v>
      </c>
      <c r="M375" s="115">
        <f>'Sampling Data'!L375</f>
        <v>0</v>
      </c>
      <c r="N375" s="115">
        <f>'Sampling Data'!M375</f>
        <v>0</v>
      </c>
      <c r="O375" s="114">
        <f>'Sampling Data'!N375</f>
        <v>0</v>
      </c>
      <c r="P375" s="114">
        <f>'Sampling Data'!O375</f>
        <v>0</v>
      </c>
      <c r="Q375" s="114">
        <f>'Sampling Data'!P375</f>
        <v>69</v>
      </c>
      <c r="R375" s="114">
        <f>'Sampling Data'!AJ375</f>
        <v>0</v>
      </c>
      <c r="S375" s="116"/>
      <c r="T375" s="116"/>
      <c r="U375" s="117"/>
      <c r="V375" s="117"/>
      <c r="W375" s="116"/>
      <c r="X375" s="116"/>
      <c r="Y375" s="116"/>
      <c r="Z375" s="116"/>
      <c r="AA375" s="15"/>
      <c r="AB375" s="15"/>
      <c r="AC375" s="15"/>
      <c r="AD375" s="15"/>
      <c r="AE375" s="118" t="str">
        <f>IF(NOT(ISBLANK(Audit[[#This Row],[Audit Winning Candidate]])), Audit[[#This Row],[Audit Winning Candidate]]-Audit[[#This Row],[Winning Candidate]], "")</f>
        <v/>
      </c>
      <c r="AF375" s="114" t="str">
        <f>IF(NOT(ISBLANK(Audit[[#This Row],[Audit Losing Candidate]])), Audit[[#This Row],[Audit Losing Candidate]]-Audit[[#This Row],[Losing Candidate]], "")</f>
        <v/>
      </c>
      <c r="AG375" s="114" t="str">
        <f>IF(NOT(ISBLANK(Audit[[#This Row],[Audit Candidate 3]])), Audit[[#This Row],[Audit Candidate 3]]-Audit[[#This Row],[Candidate 3]], "")</f>
        <v/>
      </c>
      <c r="AH375" s="114" t="str">
        <f>IF(NOT(ISBLANK(Audit[[#This Row],[Audit Candidate 4]])),Audit[[#This Row],[Audit Candidate 4]]-Audit[[#This Row],[Candidate 4]], "")</f>
        <v/>
      </c>
      <c r="AI375" s="114" t="str">
        <f>IF(NOT(ISBLANK(Audit[[#This Row],[Audit Candidate 5]])), Audit[[#This Row],[Audit Candidate 5]]-Audit[[#This Row],[Candidate 5]], "")</f>
        <v/>
      </c>
      <c r="AJ375" s="114" t="str">
        <f>IF(NOT(ISBLANK(Audit[[#This Row],[Audit Candidate 6]])), Audit[[#This Row],[Audit Candidate 6]]-Audit[[#This Row],[Candidate 6]], "")</f>
        <v/>
      </c>
      <c r="AK375" s="114" t="str">
        <f>IF(NOT(ISBLANK(Audit[[#This Row],[Audit Candidate 7]])), Audit[[#This Row],[Audit Candidate 7]]-Audit[[#This Row],[Candidate 7]], "")</f>
        <v/>
      </c>
      <c r="AL375" s="114" t="str">
        <f>IF(NOT(ISBLANK(Audit[[#This Row],[Audit Candidate 8]])), Audit[[#This Row],[Audit Candidate 8]]-Audit[[#This Row],[Candidate 8]], "")</f>
        <v/>
      </c>
      <c r="AM375" s="114" t="str">
        <f>IF(NOT(ISBLANK(Audit[[#This Row],[Audit Candidate 9]])), Audit[[#This Row],[Audit Candidate 9]]-Audit[[#This Row],[Candidate 9]], "")</f>
        <v/>
      </c>
      <c r="AN375" s="114" t="str">
        <f>IF(NOT(ISBLANK(Audit[[#This Row],[Audit Candidate 10]])), Audit[[#This Row],[Audit Candidate 10]]-Audit[[#This Row],[Candidate 10]], "")</f>
        <v/>
      </c>
      <c r="AO375" s="114" t="str">
        <f>IF(NOT(ISBLANK(Audit[[#This Row],[Audit Candidate 11]])), Audit[[#This Row],[Audit Candidate 11]]-Audit[[#This Row],[Candidate 11]], "")</f>
        <v/>
      </c>
      <c r="AP375" s="114" t="str">
        <f>IF(NOT(ISBLANK(Audit[[#This Row],[Audit Candidate 12]])), Audit[[#This Row],[Audit Candidate 12]]-Audit[[#This Row],[Candidate 12]], "")</f>
        <v/>
      </c>
      <c r="AQ375" s="114">
        <f>SUMIF(Audit[[#This Row],[Difference Winner]:[Difference Candidate 12]], "&gt;0")</f>
        <v>0</v>
      </c>
      <c r="AR375" s="114">
        <f>SUM(Audit[[#This Row],[Difference Winner]:[Difference Candidate 12]])</f>
        <v>0</v>
      </c>
      <c r="AS375" s="114">
        <f>IF(Audit[[#This Row],[Times p Drawn - With Replacement]]&gt;0, IF(Audit[[#This Row],[Canceled Differences]]&lt;0, Audit[[#This Row],[Max Differences]]+ABS(Audit[[#This Row],[Canceled Differences]]), Audit[[#This Row],[Max Differences]]), 0)</f>
        <v>0</v>
      </c>
      <c r="AT375" s="114">
        <f>'Sampling Data'!AB375</f>
        <v>7.7112698312369636E-3</v>
      </c>
      <c r="AU375" s="114">
        <f>IF(
      SUM(Audit[[#This Row],[Audit Losing Candidate]:[Audit Candidate 12]])
      &lt;&gt;0,
      (Audit[[#This Row],[Winning Candidate]]-Audit[[#This Row],[Losing Candidate]]-(Audit[[#This Row],[Audit Winning Candidate]]-Audit[[#This Row],[Audit Losing Candidate]]))/(Audit[[#Totals],[Winning Candidate]]-Audit[[#Totals],[Losing Candidate]]),
      0
)</f>
        <v>0</v>
      </c>
      <c r="AV37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5" s="114">
        <f>IF(Audit[[#This Row],[Max Relative Error (ep)]] = 0, 0, Audit[[#This Row],[Max Relative Error (ep)]]/Audit[[#This Row],[Error Bound (up) - Max. possible relative overstatement]])</f>
        <v>0</v>
      </c>
      <c r="BH37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5" s="114">
        <f t="shared" si="6"/>
        <v>1</v>
      </c>
      <c r="BJ375" s="114">
        <f>PRODUCT($BI$5:BI375)</f>
        <v>7.4038944863463699E-2</v>
      </c>
      <c r="BK375" s="112">
        <f>1 - Audit[[#This Row],[K-M P Value]]</f>
        <v>0.92596105513653626</v>
      </c>
      <c r="BL375" s="114" t="str">
        <f>IF(Audit[[#This Row],[K-M P Value]]&gt;1-'General Info'!$B$12,"Continue", "Stop")</f>
        <v>Stop</v>
      </c>
      <c r="BM375" s="113" t="b">
        <f>IF(Audit[[#This Row],[Status - Continue or stop audit]] = "Continue", TRUE, IF(BL374 = "Continue", TRUE, FALSE))</f>
        <v>0</v>
      </c>
      <c r="BN375" s="113"/>
    </row>
    <row r="376" spans="1:66" ht="15" hidden="1" customHeight="1" x14ac:dyDescent="0.35">
      <c r="A376" s="114" t="str">
        <f>'Sampling Data'!AI376</f>
        <v/>
      </c>
      <c r="B376" s="114" t="str">
        <f>'Sampling Data'!A376</f>
        <v>2611 CIN 26-K   (ED)</v>
      </c>
      <c r="C376" s="114">
        <f>'Sampling Data'!B376</f>
        <v>79</v>
      </c>
      <c r="D376" s="114">
        <f>'Sampling Data'!C376</f>
        <v>23</v>
      </c>
      <c r="E376" s="115">
        <f>'Sampling Data'!D376</f>
        <v>5</v>
      </c>
      <c r="F376" s="115">
        <f>'Sampling Data'!E376</f>
        <v>0</v>
      </c>
      <c r="G376" s="115">
        <f>'Sampling Data'!F376</f>
        <v>0</v>
      </c>
      <c r="H376" s="115">
        <f>'Sampling Data'!G376</f>
        <v>0</v>
      </c>
      <c r="I376" s="115">
        <f>'Sampling Data'!H376</f>
        <v>0</v>
      </c>
      <c r="J376" s="115">
        <f>'Sampling Data'!I376</f>
        <v>0</v>
      </c>
      <c r="K376" s="115">
        <f>'Sampling Data'!J376</f>
        <v>0</v>
      </c>
      <c r="L376" s="115">
        <f>'Sampling Data'!K376</f>
        <v>0</v>
      </c>
      <c r="M376" s="115">
        <f>'Sampling Data'!L376</f>
        <v>0</v>
      </c>
      <c r="N376" s="115">
        <f>'Sampling Data'!M376</f>
        <v>0</v>
      </c>
      <c r="O376" s="114">
        <f>'Sampling Data'!N376</f>
        <v>0</v>
      </c>
      <c r="P376" s="114">
        <f>'Sampling Data'!O376</f>
        <v>1</v>
      </c>
      <c r="Q376" s="114">
        <f>'Sampling Data'!P376</f>
        <v>108</v>
      </c>
      <c r="R376" s="114">
        <f>'Sampling Data'!AJ376</f>
        <v>0</v>
      </c>
      <c r="S376" s="116"/>
      <c r="T376" s="116"/>
      <c r="U376" s="117"/>
      <c r="V376" s="117"/>
      <c r="W376" s="116"/>
      <c r="X376" s="116"/>
      <c r="Y376" s="116"/>
      <c r="Z376" s="116"/>
      <c r="AA376" s="15"/>
      <c r="AB376" s="15"/>
      <c r="AC376" s="15"/>
      <c r="AD376" s="15"/>
      <c r="AE376" s="118" t="str">
        <f>IF(NOT(ISBLANK(Audit[[#This Row],[Audit Winning Candidate]])), Audit[[#This Row],[Audit Winning Candidate]]-Audit[[#This Row],[Winning Candidate]], "")</f>
        <v/>
      </c>
      <c r="AF376" s="114" t="str">
        <f>IF(NOT(ISBLANK(Audit[[#This Row],[Audit Losing Candidate]])), Audit[[#This Row],[Audit Losing Candidate]]-Audit[[#This Row],[Losing Candidate]], "")</f>
        <v/>
      </c>
      <c r="AG376" s="114" t="str">
        <f>IF(NOT(ISBLANK(Audit[[#This Row],[Audit Candidate 3]])), Audit[[#This Row],[Audit Candidate 3]]-Audit[[#This Row],[Candidate 3]], "")</f>
        <v/>
      </c>
      <c r="AH376" s="114" t="str">
        <f>IF(NOT(ISBLANK(Audit[[#This Row],[Audit Candidate 4]])),Audit[[#This Row],[Audit Candidate 4]]-Audit[[#This Row],[Candidate 4]], "")</f>
        <v/>
      </c>
      <c r="AI376" s="114" t="str">
        <f>IF(NOT(ISBLANK(Audit[[#This Row],[Audit Candidate 5]])), Audit[[#This Row],[Audit Candidate 5]]-Audit[[#This Row],[Candidate 5]], "")</f>
        <v/>
      </c>
      <c r="AJ376" s="114" t="str">
        <f>IF(NOT(ISBLANK(Audit[[#This Row],[Audit Candidate 6]])), Audit[[#This Row],[Audit Candidate 6]]-Audit[[#This Row],[Candidate 6]], "")</f>
        <v/>
      </c>
      <c r="AK376" s="114" t="str">
        <f>IF(NOT(ISBLANK(Audit[[#This Row],[Audit Candidate 7]])), Audit[[#This Row],[Audit Candidate 7]]-Audit[[#This Row],[Candidate 7]], "")</f>
        <v/>
      </c>
      <c r="AL376" s="114" t="str">
        <f>IF(NOT(ISBLANK(Audit[[#This Row],[Audit Candidate 8]])), Audit[[#This Row],[Audit Candidate 8]]-Audit[[#This Row],[Candidate 8]], "")</f>
        <v/>
      </c>
      <c r="AM376" s="114" t="str">
        <f>IF(NOT(ISBLANK(Audit[[#This Row],[Audit Candidate 9]])), Audit[[#This Row],[Audit Candidate 9]]-Audit[[#This Row],[Candidate 9]], "")</f>
        <v/>
      </c>
      <c r="AN376" s="114" t="str">
        <f>IF(NOT(ISBLANK(Audit[[#This Row],[Audit Candidate 10]])), Audit[[#This Row],[Audit Candidate 10]]-Audit[[#This Row],[Candidate 10]], "")</f>
        <v/>
      </c>
      <c r="AO376" s="114" t="str">
        <f>IF(NOT(ISBLANK(Audit[[#This Row],[Audit Candidate 11]])), Audit[[#This Row],[Audit Candidate 11]]-Audit[[#This Row],[Candidate 11]], "")</f>
        <v/>
      </c>
      <c r="AP376" s="114" t="str">
        <f>IF(NOT(ISBLANK(Audit[[#This Row],[Audit Candidate 12]])), Audit[[#This Row],[Audit Candidate 12]]-Audit[[#This Row],[Candidate 12]], "")</f>
        <v/>
      </c>
      <c r="AQ376" s="114">
        <f>SUMIF(Audit[[#This Row],[Difference Winner]:[Difference Candidate 12]], "&gt;0")</f>
        <v>0</v>
      </c>
      <c r="AR376" s="114">
        <f>SUM(Audit[[#This Row],[Difference Winner]:[Difference Candidate 12]])</f>
        <v>0</v>
      </c>
      <c r="AS376" s="114">
        <f>IF(Audit[[#This Row],[Times p Drawn - With Replacement]]&gt;0, IF(Audit[[#This Row],[Canceled Differences]]&lt;0, Audit[[#This Row],[Max Differences]]+ABS(Audit[[#This Row],[Canceled Differences]]), Audit[[#This Row],[Max Differences]]), 0)</f>
        <v>0</v>
      </c>
      <c r="AT376" s="114">
        <f>'Sampling Data'!AB376</f>
        <v>1.0365969281334935E-2</v>
      </c>
      <c r="AU376" s="114">
        <f>IF(
      SUM(Audit[[#This Row],[Audit Losing Candidate]:[Audit Candidate 12]])
      &lt;&gt;0,
      (Audit[[#This Row],[Winning Candidate]]-Audit[[#This Row],[Losing Candidate]]-(Audit[[#This Row],[Audit Winning Candidate]]-Audit[[#This Row],[Audit Losing Candidate]]))/(Audit[[#Totals],[Winning Candidate]]-Audit[[#Totals],[Losing Candidate]]),
      0
)</f>
        <v>0</v>
      </c>
      <c r="AV37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6" s="114">
        <f>IF(Audit[[#This Row],[Max Relative Error (ep)]] = 0, 0, Audit[[#This Row],[Max Relative Error (ep)]]/Audit[[#This Row],[Error Bound (up) - Max. possible relative overstatement]])</f>
        <v>0</v>
      </c>
      <c r="BH37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6" s="114">
        <f t="shared" si="6"/>
        <v>1</v>
      </c>
      <c r="BJ376" s="114">
        <f>PRODUCT($BI$5:BI376)</f>
        <v>7.4038944863463699E-2</v>
      </c>
      <c r="BK376" s="112">
        <f>1 - Audit[[#This Row],[K-M P Value]]</f>
        <v>0.92596105513653626</v>
      </c>
      <c r="BL376" s="114" t="str">
        <f>IF(Audit[[#This Row],[K-M P Value]]&gt;1-'General Info'!$B$12,"Continue", "Stop")</f>
        <v>Stop</v>
      </c>
      <c r="BM376" s="113" t="b">
        <f>IF(Audit[[#This Row],[Status - Continue or stop audit]] = "Continue", TRUE, IF(BL375 = "Continue", TRUE, FALSE))</f>
        <v>0</v>
      </c>
      <c r="BN376" s="113"/>
    </row>
    <row r="377" spans="1:66" ht="15" hidden="1" customHeight="1" x14ac:dyDescent="0.35">
      <c r="A377" s="114" t="str">
        <f>'Sampling Data'!AI377</f>
        <v/>
      </c>
      <c r="B377" s="114" t="str">
        <f>'Sampling Data'!A377</f>
        <v>2612 CIN 26-L   (ED)</v>
      </c>
      <c r="C377" s="114">
        <f>'Sampling Data'!B377</f>
        <v>43</v>
      </c>
      <c r="D377" s="114">
        <f>'Sampling Data'!C377</f>
        <v>9</v>
      </c>
      <c r="E377" s="115">
        <f>'Sampling Data'!D377</f>
        <v>3</v>
      </c>
      <c r="F377" s="115">
        <f>'Sampling Data'!E377</f>
        <v>0</v>
      </c>
      <c r="G377" s="115">
        <f>'Sampling Data'!F377</f>
        <v>0</v>
      </c>
      <c r="H377" s="115">
        <f>'Sampling Data'!G377</f>
        <v>0</v>
      </c>
      <c r="I377" s="115">
        <f>'Sampling Data'!H377</f>
        <v>0</v>
      </c>
      <c r="J377" s="115">
        <f>'Sampling Data'!I377</f>
        <v>0</v>
      </c>
      <c r="K377" s="115">
        <f>'Sampling Data'!J377</f>
        <v>0</v>
      </c>
      <c r="L377" s="115">
        <f>'Sampling Data'!K377</f>
        <v>0</v>
      </c>
      <c r="M377" s="115">
        <f>'Sampling Data'!L377</f>
        <v>0</v>
      </c>
      <c r="N377" s="115">
        <f>'Sampling Data'!M377</f>
        <v>0</v>
      </c>
      <c r="O377" s="114">
        <f>'Sampling Data'!N377</f>
        <v>0</v>
      </c>
      <c r="P377" s="114">
        <f>'Sampling Data'!O377</f>
        <v>0</v>
      </c>
      <c r="Q377" s="114">
        <f>'Sampling Data'!P377</f>
        <v>55</v>
      </c>
      <c r="R377" s="114">
        <f>'Sampling Data'!AJ377</f>
        <v>0</v>
      </c>
      <c r="S377" s="116"/>
      <c r="T377" s="116"/>
      <c r="U377" s="117"/>
      <c r="V377" s="117"/>
      <c r="W377" s="116"/>
      <c r="X377" s="116"/>
      <c r="Y377" s="116"/>
      <c r="Z377" s="116"/>
      <c r="AA377" s="15"/>
      <c r="AB377" s="15"/>
      <c r="AC377" s="15"/>
      <c r="AD377" s="15"/>
      <c r="AE377" s="118" t="str">
        <f>IF(NOT(ISBLANK(Audit[[#This Row],[Audit Winning Candidate]])), Audit[[#This Row],[Audit Winning Candidate]]-Audit[[#This Row],[Winning Candidate]], "")</f>
        <v/>
      </c>
      <c r="AF377" s="114" t="str">
        <f>IF(NOT(ISBLANK(Audit[[#This Row],[Audit Losing Candidate]])), Audit[[#This Row],[Audit Losing Candidate]]-Audit[[#This Row],[Losing Candidate]], "")</f>
        <v/>
      </c>
      <c r="AG377" s="114" t="str">
        <f>IF(NOT(ISBLANK(Audit[[#This Row],[Audit Candidate 3]])), Audit[[#This Row],[Audit Candidate 3]]-Audit[[#This Row],[Candidate 3]], "")</f>
        <v/>
      </c>
      <c r="AH377" s="114" t="str">
        <f>IF(NOT(ISBLANK(Audit[[#This Row],[Audit Candidate 4]])),Audit[[#This Row],[Audit Candidate 4]]-Audit[[#This Row],[Candidate 4]], "")</f>
        <v/>
      </c>
      <c r="AI377" s="114" t="str">
        <f>IF(NOT(ISBLANK(Audit[[#This Row],[Audit Candidate 5]])), Audit[[#This Row],[Audit Candidate 5]]-Audit[[#This Row],[Candidate 5]], "")</f>
        <v/>
      </c>
      <c r="AJ377" s="114" t="str">
        <f>IF(NOT(ISBLANK(Audit[[#This Row],[Audit Candidate 6]])), Audit[[#This Row],[Audit Candidate 6]]-Audit[[#This Row],[Candidate 6]], "")</f>
        <v/>
      </c>
      <c r="AK377" s="114" t="str">
        <f>IF(NOT(ISBLANK(Audit[[#This Row],[Audit Candidate 7]])), Audit[[#This Row],[Audit Candidate 7]]-Audit[[#This Row],[Candidate 7]], "")</f>
        <v/>
      </c>
      <c r="AL377" s="114" t="str">
        <f>IF(NOT(ISBLANK(Audit[[#This Row],[Audit Candidate 8]])), Audit[[#This Row],[Audit Candidate 8]]-Audit[[#This Row],[Candidate 8]], "")</f>
        <v/>
      </c>
      <c r="AM377" s="114" t="str">
        <f>IF(NOT(ISBLANK(Audit[[#This Row],[Audit Candidate 9]])), Audit[[#This Row],[Audit Candidate 9]]-Audit[[#This Row],[Candidate 9]], "")</f>
        <v/>
      </c>
      <c r="AN377" s="114" t="str">
        <f>IF(NOT(ISBLANK(Audit[[#This Row],[Audit Candidate 10]])), Audit[[#This Row],[Audit Candidate 10]]-Audit[[#This Row],[Candidate 10]], "")</f>
        <v/>
      </c>
      <c r="AO377" s="114" t="str">
        <f>IF(NOT(ISBLANK(Audit[[#This Row],[Audit Candidate 11]])), Audit[[#This Row],[Audit Candidate 11]]-Audit[[#This Row],[Candidate 11]], "")</f>
        <v/>
      </c>
      <c r="AP377" s="114" t="str">
        <f>IF(NOT(ISBLANK(Audit[[#This Row],[Audit Candidate 12]])), Audit[[#This Row],[Audit Candidate 12]]-Audit[[#This Row],[Candidate 12]], "")</f>
        <v/>
      </c>
      <c r="AQ377" s="114">
        <f>SUMIF(Audit[[#This Row],[Difference Winner]:[Difference Candidate 12]], "&gt;0")</f>
        <v>0</v>
      </c>
      <c r="AR377" s="114">
        <f>SUM(Audit[[#This Row],[Difference Winner]:[Difference Candidate 12]])</f>
        <v>0</v>
      </c>
      <c r="AS377" s="114">
        <f>IF(Audit[[#This Row],[Times p Drawn - With Replacement]]&gt;0, IF(Audit[[#This Row],[Canceled Differences]]&lt;0, Audit[[#This Row],[Max Differences]]+ABS(Audit[[#This Row],[Canceled Differences]]), Audit[[#This Row],[Max Differences]]), 0)</f>
        <v>0</v>
      </c>
      <c r="AT377" s="114">
        <f>'Sampling Data'!AB377</f>
        <v>5.625434549017129E-3</v>
      </c>
      <c r="AU377" s="114">
        <f>IF(
      SUM(Audit[[#This Row],[Audit Losing Candidate]:[Audit Candidate 12]])
      &lt;&gt;0,
      (Audit[[#This Row],[Winning Candidate]]-Audit[[#This Row],[Losing Candidate]]-(Audit[[#This Row],[Audit Winning Candidate]]-Audit[[#This Row],[Audit Losing Candidate]]))/(Audit[[#Totals],[Winning Candidate]]-Audit[[#Totals],[Losing Candidate]]),
      0
)</f>
        <v>0</v>
      </c>
      <c r="AV37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7" s="114">
        <f>IF(Audit[[#This Row],[Max Relative Error (ep)]] = 0, 0, Audit[[#This Row],[Max Relative Error (ep)]]/Audit[[#This Row],[Error Bound (up) - Max. possible relative overstatement]])</f>
        <v>0</v>
      </c>
      <c r="BH37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7" s="114">
        <f t="shared" si="6"/>
        <v>1</v>
      </c>
      <c r="BJ377" s="114">
        <f>PRODUCT($BI$5:BI377)</f>
        <v>7.4038944863463699E-2</v>
      </c>
      <c r="BK377" s="112">
        <f>1 - Audit[[#This Row],[K-M P Value]]</f>
        <v>0.92596105513653626</v>
      </c>
      <c r="BL377" s="114" t="str">
        <f>IF(Audit[[#This Row],[K-M P Value]]&gt;1-'General Info'!$B$12,"Continue", "Stop")</f>
        <v>Stop</v>
      </c>
      <c r="BM377" s="113" t="b">
        <f>IF(Audit[[#This Row],[Status - Continue or stop audit]] = "Continue", TRUE, IF(BL376 = "Continue", TRUE, FALSE))</f>
        <v>0</v>
      </c>
      <c r="BN377" s="113"/>
    </row>
    <row r="378" spans="1:66" ht="15" hidden="1" customHeight="1" x14ac:dyDescent="0.35">
      <c r="A378" s="114" t="str">
        <f>'Sampling Data'!AI378</f>
        <v/>
      </c>
      <c r="B378" s="114" t="str">
        <f>'Sampling Data'!A378</f>
        <v>2613 CIN 26-M   (ED)</v>
      </c>
      <c r="C378" s="114">
        <f>'Sampling Data'!B378</f>
        <v>31</v>
      </c>
      <c r="D378" s="114">
        <f>'Sampling Data'!C378</f>
        <v>5</v>
      </c>
      <c r="E378" s="115">
        <f>'Sampling Data'!D378</f>
        <v>0</v>
      </c>
      <c r="F378" s="115">
        <f>'Sampling Data'!E378</f>
        <v>0</v>
      </c>
      <c r="G378" s="115">
        <f>'Sampling Data'!F378</f>
        <v>0</v>
      </c>
      <c r="H378" s="115">
        <f>'Sampling Data'!G378</f>
        <v>0</v>
      </c>
      <c r="I378" s="115">
        <f>'Sampling Data'!H378</f>
        <v>0</v>
      </c>
      <c r="J378" s="115">
        <f>'Sampling Data'!I378</f>
        <v>0</v>
      </c>
      <c r="K378" s="115">
        <f>'Sampling Data'!J378</f>
        <v>0</v>
      </c>
      <c r="L378" s="115">
        <f>'Sampling Data'!K378</f>
        <v>0</v>
      </c>
      <c r="M378" s="115">
        <f>'Sampling Data'!L378</f>
        <v>0</v>
      </c>
      <c r="N378" s="115">
        <f>'Sampling Data'!M378</f>
        <v>0</v>
      </c>
      <c r="O378" s="114">
        <f>'Sampling Data'!N378</f>
        <v>0</v>
      </c>
      <c r="P378" s="114">
        <f>'Sampling Data'!O378</f>
        <v>0</v>
      </c>
      <c r="Q378" s="114">
        <f>'Sampling Data'!P378</f>
        <v>36</v>
      </c>
      <c r="R378" s="114">
        <f>'Sampling Data'!AJ378</f>
        <v>0</v>
      </c>
      <c r="S378" s="116"/>
      <c r="T378" s="116"/>
      <c r="U378" s="117"/>
      <c r="V378" s="117"/>
      <c r="W378" s="116"/>
      <c r="X378" s="116"/>
      <c r="Y378" s="116"/>
      <c r="Z378" s="116"/>
      <c r="AA378" s="15"/>
      <c r="AB378" s="15"/>
      <c r="AC378" s="15"/>
      <c r="AD378" s="15"/>
      <c r="AE378" s="118" t="str">
        <f>IF(NOT(ISBLANK(Audit[[#This Row],[Audit Winning Candidate]])), Audit[[#This Row],[Audit Winning Candidate]]-Audit[[#This Row],[Winning Candidate]], "")</f>
        <v/>
      </c>
      <c r="AF378" s="114" t="str">
        <f>IF(NOT(ISBLANK(Audit[[#This Row],[Audit Losing Candidate]])), Audit[[#This Row],[Audit Losing Candidate]]-Audit[[#This Row],[Losing Candidate]], "")</f>
        <v/>
      </c>
      <c r="AG378" s="114" t="str">
        <f>IF(NOT(ISBLANK(Audit[[#This Row],[Audit Candidate 3]])), Audit[[#This Row],[Audit Candidate 3]]-Audit[[#This Row],[Candidate 3]], "")</f>
        <v/>
      </c>
      <c r="AH378" s="114" t="str">
        <f>IF(NOT(ISBLANK(Audit[[#This Row],[Audit Candidate 4]])),Audit[[#This Row],[Audit Candidate 4]]-Audit[[#This Row],[Candidate 4]], "")</f>
        <v/>
      </c>
      <c r="AI378" s="114" t="str">
        <f>IF(NOT(ISBLANK(Audit[[#This Row],[Audit Candidate 5]])), Audit[[#This Row],[Audit Candidate 5]]-Audit[[#This Row],[Candidate 5]], "")</f>
        <v/>
      </c>
      <c r="AJ378" s="114" t="str">
        <f>IF(NOT(ISBLANK(Audit[[#This Row],[Audit Candidate 6]])), Audit[[#This Row],[Audit Candidate 6]]-Audit[[#This Row],[Candidate 6]], "")</f>
        <v/>
      </c>
      <c r="AK378" s="114" t="str">
        <f>IF(NOT(ISBLANK(Audit[[#This Row],[Audit Candidate 7]])), Audit[[#This Row],[Audit Candidate 7]]-Audit[[#This Row],[Candidate 7]], "")</f>
        <v/>
      </c>
      <c r="AL378" s="114" t="str">
        <f>IF(NOT(ISBLANK(Audit[[#This Row],[Audit Candidate 8]])), Audit[[#This Row],[Audit Candidate 8]]-Audit[[#This Row],[Candidate 8]], "")</f>
        <v/>
      </c>
      <c r="AM378" s="114" t="str">
        <f>IF(NOT(ISBLANK(Audit[[#This Row],[Audit Candidate 9]])), Audit[[#This Row],[Audit Candidate 9]]-Audit[[#This Row],[Candidate 9]], "")</f>
        <v/>
      </c>
      <c r="AN378" s="114" t="str">
        <f>IF(NOT(ISBLANK(Audit[[#This Row],[Audit Candidate 10]])), Audit[[#This Row],[Audit Candidate 10]]-Audit[[#This Row],[Candidate 10]], "")</f>
        <v/>
      </c>
      <c r="AO378" s="114" t="str">
        <f>IF(NOT(ISBLANK(Audit[[#This Row],[Audit Candidate 11]])), Audit[[#This Row],[Audit Candidate 11]]-Audit[[#This Row],[Candidate 11]], "")</f>
        <v/>
      </c>
      <c r="AP378" s="114" t="str">
        <f>IF(NOT(ISBLANK(Audit[[#This Row],[Audit Candidate 12]])), Audit[[#This Row],[Audit Candidate 12]]-Audit[[#This Row],[Candidate 12]], "")</f>
        <v/>
      </c>
      <c r="AQ378" s="114">
        <f>SUMIF(Audit[[#This Row],[Difference Winner]:[Difference Candidate 12]], "&gt;0")</f>
        <v>0</v>
      </c>
      <c r="AR378" s="114">
        <f>SUM(Audit[[#This Row],[Difference Winner]:[Difference Candidate 12]])</f>
        <v>0</v>
      </c>
      <c r="AS378" s="114">
        <f>IF(Audit[[#This Row],[Times p Drawn - With Replacement]]&gt;0, IF(Audit[[#This Row],[Canceled Differences]]&lt;0, Audit[[#This Row],[Max Differences]]+ABS(Audit[[#This Row],[Canceled Differences]]), Audit[[#This Row],[Max Differences]]), 0)</f>
        <v>0</v>
      </c>
      <c r="AT378" s="114">
        <f>'Sampling Data'!AB378</f>
        <v>3.9188420453827189E-3</v>
      </c>
      <c r="AU378" s="114">
        <f>IF(
      SUM(Audit[[#This Row],[Audit Losing Candidate]:[Audit Candidate 12]])
      &lt;&gt;0,
      (Audit[[#This Row],[Winning Candidate]]-Audit[[#This Row],[Losing Candidate]]-(Audit[[#This Row],[Audit Winning Candidate]]-Audit[[#This Row],[Audit Losing Candidate]]))/(Audit[[#Totals],[Winning Candidate]]-Audit[[#Totals],[Losing Candidate]]),
      0
)</f>
        <v>0</v>
      </c>
      <c r="AV37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8" s="114">
        <f>IF(Audit[[#This Row],[Max Relative Error (ep)]] = 0, 0, Audit[[#This Row],[Max Relative Error (ep)]]/Audit[[#This Row],[Error Bound (up) - Max. possible relative overstatement]])</f>
        <v>0</v>
      </c>
      <c r="BH37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8" s="114">
        <f t="shared" si="6"/>
        <v>1</v>
      </c>
      <c r="BJ378" s="114">
        <f>PRODUCT($BI$5:BI378)</f>
        <v>7.4038944863463699E-2</v>
      </c>
      <c r="BK378" s="112">
        <f>1 - Audit[[#This Row],[K-M P Value]]</f>
        <v>0.92596105513653626</v>
      </c>
      <c r="BL378" s="114" t="str">
        <f>IF(Audit[[#This Row],[K-M P Value]]&gt;1-'General Info'!$B$12,"Continue", "Stop")</f>
        <v>Stop</v>
      </c>
      <c r="BM378" s="113" t="b">
        <f>IF(Audit[[#This Row],[Status - Continue or stop audit]] = "Continue", TRUE, IF(BL377 = "Continue", TRUE, FALSE))</f>
        <v>0</v>
      </c>
      <c r="BN378" s="113"/>
    </row>
    <row r="379" spans="1:66" ht="15" hidden="1" customHeight="1" x14ac:dyDescent="0.35">
      <c r="A379" s="114" t="str">
        <f>'Sampling Data'!AI379</f>
        <v/>
      </c>
      <c r="B379" s="114" t="str">
        <f>'Sampling Data'!A379</f>
        <v>2614 CIN 26-N   (ED)</v>
      </c>
      <c r="C379" s="114">
        <f>'Sampling Data'!B379</f>
        <v>63</v>
      </c>
      <c r="D379" s="114">
        <f>'Sampling Data'!C379</f>
        <v>9</v>
      </c>
      <c r="E379" s="115">
        <f>'Sampling Data'!D379</f>
        <v>1</v>
      </c>
      <c r="F379" s="115">
        <f>'Sampling Data'!E379</f>
        <v>0</v>
      </c>
      <c r="G379" s="115">
        <f>'Sampling Data'!F379</f>
        <v>0</v>
      </c>
      <c r="H379" s="115">
        <f>'Sampling Data'!G379</f>
        <v>0</v>
      </c>
      <c r="I379" s="115">
        <f>'Sampling Data'!H379</f>
        <v>0</v>
      </c>
      <c r="J379" s="115">
        <f>'Sampling Data'!I379</f>
        <v>0</v>
      </c>
      <c r="K379" s="115">
        <f>'Sampling Data'!J379</f>
        <v>0</v>
      </c>
      <c r="L379" s="115">
        <f>'Sampling Data'!K379</f>
        <v>0</v>
      </c>
      <c r="M379" s="115">
        <f>'Sampling Data'!L379</f>
        <v>0</v>
      </c>
      <c r="N379" s="115">
        <f>'Sampling Data'!M379</f>
        <v>0</v>
      </c>
      <c r="O379" s="114">
        <f>'Sampling Data'!N379</f>
        <v>0</v>
      </c>
      <c r="P379" s="114">
        <f>'Sampling Data'!O379</f>
        <v>1</v>
      </c>
      <c r="Q379" s="114">
        <f>'Sampling Data'!P379</f>
        <v>74</v>
      </c>
      <c r="R379" s="114">
        <f>'Sampling Data'!AJ379</f>
        <v>0</v>
      </c>
      <c r="S379" s="116"/>
      <c r="T379" s="116"/>
      <c r="U379" s="117"/>
      <c r="V379" s="117"/>
      <c r="W379" s="116"/>
      <c r="X379" s="116"/>
      <c r="Y379" s="116"/>
      <c r="Z379" s="116"/>
      <c r="AA379" s="15"/>
      <c r="AB379" s="15"/>
      <c r="AC379" s="15"/>
      <c r="AD379" s="15"/>
      <c r="AE379" s="118" t="str">
        <f>IF(NOT(ISBLANK(Audit[[#This Row],[Audit Winning Candidate]])), Audit[[#This Row],[Audit Winning Candidate]]-Audit[[#This Row],[Winning Candidate]], "")</f>
        <v/>
      </c>
      <c r="AF379" s="114" t="str">
        <f>IF(NOT(ISBLANK(Audit[[#This Row],[Audit Losing Candidate]])), Audit[[#This Row],[Audit Losing Candidate]]-Audit[[#This Row],[Losing Candidate]], "")</f>
        <v/>
      </c>
      <c r="AG379" s="114" t="str">
        <f>IF(NOT(ISBLANK(Audit[[#This Row],[Audit Candidate 3]])), Audit[[#This Row],[Audit Candidate 3]]-Audit[[#This Row],[Candidate 3]], "")</f>
        <v/>
      </c>
      <c r="AH379" s="114" t="str">
        <f>IF(NOT(ISBLANK(Audit[[#This Row],[Audit Candidate 4]])),Audit[[#This Row],[Audit Candidate 4]]-Audit[[#This Row],[Candidate 4]], "")</f>
        <v/>
      </c>
      <c r="AI379" s="114" t="str">
        <f>IF(NOT(ISBLANK(Audit[[#This Row],[Audit Candidate 5]])), Audit[[#This Row],[Audit Candidate 5]]-Audit[[#This Row],[Candidate 5]], "")</f>
        <v/>
      </c>
      <c r="AJ379" s="114" t="str">
        <f>IF(NOT(ISBLANK(Audit[[#This Row],[Audit Candidate 6]])), Audit[[#This Row],[Audit Candidate 6]]-Audit[[#This Row],[Candidate 6]], "")</f>
        <v/>
      </c>
      <c r="AK379" s="114" t="str">
        <f>IF(NOT(ISBLANK(Audit[[#This Row],[Audit Candidate 7]])), Audit[[#This Row],[Audit Candidate 7]]-Audit[[#This Row],[Candidate 7]], "")</f>
        <v/>
      </c>
      <c r="AL379" s="114" t="str">
        <f>IF(NOT(ISBLANK(Audit[[#This Row],[Audit Candidate 8]])), Audit[[#This Row],[Audit Candidate 8]]-Audit[[#This Row],[Candidate 8]], "")</f>
        <v/>
      </c>
      <c r="AM379" s="114" t="str">
        <f>IF(NOT(ISBLANK(Audit[[#This Row],[Audit Candidate 9]])), Audit[[#This Row],[Audit Candidate 9]]-Audit[[#This Row],[Candidate 9]], "")</f>
        <v/>
      </c>
      <c r="AN379" s="114" t="str">
        <f>IF(NOT(ISBLANK(Audit[[#This Row],[Audit Candidate 10]])), Audit[[#This Row],[Audit Candidate 10]]-Audit[[#This Row],[Candidate 10]], "")</f>
        <v/>
      </c>
      <c r="AO379" s="114" t="str">
        <f>IF(NOT(ISBLANK(Audit[[#This Row],[Audit Candidate 11]])), Audit[[#This Row],[Audit Candidate 11]]-Audit[[#This Row],[Candidate 11]], "")</f>
        <v/>
      </c>
      <c r="AP379" s="114" t="str">
        <f>IF(NOT(ISBLANK(Audit[[#This Row],[Audit Candidate 12]])), Audit[[#This Row],[Audit Candidate 12]]-Audit[[#This Row],[Candidate 12]], "")</f>
        <v/>
      </c>
      <c r="AQ379" s="114">
        <f>SUMIF(Audit[[#This Row],[Difference Winner]:[Difference Candidate 12]], "&gt;0")</f>
        <v>0</v>
      </c>
      <c r="AR379" s="114">
        <f>SUM(Audit[[#This Row],[Difference Winner]:[Difference Candidate 12]])</f>
        <v>0</v>
      </c>
      <c r="AS379" s="114">
        <f>IF(Audit[[#This Row],[Times p Drawn - With Replacement]]&gt;0, IF(Audit[[#This Row],[Canceled Differences]]&lt;0, Audit[[#This Row],[Max Differences]]+ABS(Audit[[#This Row],[Canceled Differences]]), Audit[[#This Row],[Max Differences]]), 0)</f>
        <v>0</v>
      </c>
      <c r="AT379" s="114">
        <f>'Sampling Data'!AB379</f>
        <v>8.0905126098223881E-3</v>
      </c>
      <c r="AU379" s="114">
        <f>IF(
      SUM(Audit[[#This Row],[Audit Losing Candidate]:[Audit Candidate 12]])
      &lt;&gt;0,
      (Audit[[#This Row],[Winning Candidate]]-Audit[[#This Row],[Losing Candidate]]-(Audit[[#This Row],[Audit Winning Candidate]]-Audit[[#This Row],[Audit Losing Candidate]]))/(Audit[[#Totals],[Winning Candidate]]-Audit[[#Totals],[Losing Candidate]]),
      0
)</f>
        <v>0</v>
      </c>
      <c r="AV37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9" s="114">
        <f>IF(Audit[[#This Row],[Max Relative Error (ep)]] = 0, 0, Audit[[#This Row],[Max Relative Error (ep)]]/Audit[[#This Row],[Error Bound (up) - Max. possible relative overstatement]])</f>
        <v>0</v>
      </c>
      <c r="BH37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79" s="114">
        <f t="shared" si="6"/>
        <v>1</v>
      </c>
      <c r="BJ379" s="114">
        <f>PRODUCT($BI$5:BI379)</f>
        <v>7.4038944863463699E-2</v>
      </c>
      <c r="BK379" s="112">
        <f>1 - Audit[[#This Row],[K-M P Value]]</f>
        <v>0.92596105513653626</v>
      </c>
      <c r="BL379" s="114" t="str">
        <f>IF(Audit[[#This Row],[K-M P Value]]&gt;1-'General Info'!$B$12,"Continue", "Stop")</f>
        <v>Stop</v>
      </c>
      <c r="BM379" s="113" t="b">
        <f>IF(Audit[[#This Row],[Status - Continue or stop audit]] = "Continue", TRUE, IF(BL378 = "Continue", TRUE, FALSE))</f>
        <v>0</v>
      </c>
      <c r="BN379" s="113"/>
    </row>
    <row r="380" spans="1:66" ht="15" hidden="1" customHeight="1" x14ac:dyDescent="0.35">
      <c r="A380" s="114" t="str">
        <f>'Sampling Data'!AI380</f>
        <v/>
      </c>
      <c r="B380" s="114" t="str">
        <f>'Sampling Data'!A380</f>
        <v>2615 CIN 26-O   (ED)</v>
      </c>
      <c r="C380" s="114">
        <f>'Sampling Data'!B380</f>
        <v>140</v>
      </c>
      <c r="D380" s="114">
        <f>'Sampling Data'!C380</f>
        <v>32</v>
      </c>
      <c r="E380" s="115">
        <f>'Sampling Data'!D380</f>
        <v>6</v>
      </c>
      <c r="F380" s="115">
        <f>'Sampling Data'!E380</f>
        <v>0</v>
      </c>
      <c r="G380" s="115">
        <f>'Sampling Data'!F380</f>
        <v>0</v>
      </c>
      <c r="H380" s="115">
        <f>'Sampling Data'!G380</f>
        <v>0</v>
      </c>
      <c r="I380" s="115">
        <f>'Sampling Data'!H380</f>
        <v>0</v>
      </c>
      <c r="J380" s="115">
        <f>'Sampling Data'!I380</f>
        <v>0</v>
      </c>
      <c r="K380" s="115">
        <f>'Sampling Data'!J380</f>
        <v>0</v>
      </c>
      <c r="L380" s="115">
        <f>'Sampling Data'!K380</f>
        <v>0</v>
      </c>
      <c r="M380" s="115">
        <f>'Sampling Data'!L380</f>
        <v>0</v>
      </c>
      <c r="N380" s="115">
        <f>'Sampling Data'!M380</f>
        <v>0</v>
      </c>
      <c r="O380" s="114">
        <f>'Sampling Data'!N380</f>
        <v>0</v>
      </c>
      <c r="P380" s="114">
        <f>'Sampling Data'!O380</f>
        <v>0</v>
      </c>
      <c r="Q380" s="114">
        <f>'Sampling Data'!P380</f>
        <v>178</v>
      </c>
      <c r="R380" s="114">
        <f>'Sampling Data'!AJ380</f>
        <v>0</v>
      </c>
      <c r="S380" s="116"/>
      <c r="T380" s="116"/>
      <c r="U380" s="117"/>
      <c r="V380" s="117"/>
      <c r="W380" s="116"/>
      <c r="X380" s="116"/>
      <c r="Y380" s="116"/>
      <c r="Z380" s="116"/>
      <c r="AA380" s="15"/>
      <c r="AB380" s="15"/>
      <c r="AC380" s="15"/>
      <c r="AD380" s="15"/>
      <c r="AE380" s="118" t="str">
        <f>IF(NOT(ISBLANK(Audit[[#This Row],[Audit Winning Candidate]])), Audit[[#This Row],[Audit Winning Candidate]]-Audit[[#This Row],[Winning Candidate]], "")</f>
        <v/>
      </c>
      <c r="AF380" s="114" t="str">
        <f>IF(NOT(ISBLANK(Audit[[#This Row],[Audit Losing Candidate]])), Audit[[#This Row],[Audit Losing Candidate]]-Audit[[#This Row],[Losing Candidate]], "")</f>
        <v/>
      </c>
      <c r="AG380" s="114" t="str">
        <f>IF(NOT(ISBLANK(Audit[[#This Row],[Audit Candidate 3]])), Audit[[#This Row],[Audit Candidate 3]]-Audit[[#This Row],[Candidate 3]], "")</f>
        <v/>
      </c>
      <c r="AH380" s="114" t="str">
        <f>IF(NOT(ISBLANK(Audit[[#This Row],[Audit Candidate 4]])),Audit[[#This Row],[Audit Candidate 4]]-Audit[[#This Row],[Candidate 4]], "")</f>
        <v/>
      </c>
      <c r="AI380" s="114" t="str">
        <f>IF(NOT(ISBLANK(Audit[[#This Row],[Audit Candidate 5]])), Audit[[#This Row],[Audit Candidate 5]]-Audit[[#This Row],[Candidate 5]], "")</f>
        <v/>
      </c>
      <c r="AJ380" s="114" t="str">
        <f>IF(NOT(ISBLANK(Audit[[#This Row],[Audit Candidate 6]])), Audit[[#This Row],[Audit Candidate 6]]-Audit[[#This Row],[Candidate 6]], "")</f>
        <v/>
      </c>
      <c r="AK380" s="114" t="str">
        <f>IF(NOT(ISBLANK(Audit[[#This Row],[Audit Candidate 7]])), Audit[[#This Row],[Audit Candidate 7]]-Audit[[#This Row],[Candidate 7]], "")</f>
        <v/>
      </c>
      <c r="AL380" s="114" t="str">
        <f>IF(NOT(ISBLANK(Audit[[#This Row],[Audit Candidate 8]])), Audit[[#This Row],[Audit Candidate 8]]-Audit[[#This Row],[Candidate 8]], "")</f>
        <v/>
      </c>
      <c r="AM380" s="114" t="str">
        <f>IF(NOT(ISBLANK(Audit[[#This Row],[Audit Candidate 9]])), Audit[[#This Row],[Audit Candidate 9]]-Audit[[#This Row],[Candidate 9]], "")</f>
        <v/>
      </c>
      <c r="AN380" s="114" t="str">
        <f>IF(NOT(ISBLANK(Audit[[#This Row],[Audit Candidate 10]])), Audit[[#This Row],[Audit Candidate 10]]-Audit[[#This Row],[Candidate 10]], "")</f>
        <v/>
      </c>
      <c r="AO380" s="114" t="str">
        <f>IF(NOT(ISBLANK(Audit[[#This Row],[Audit Candidate 11]])), Audit[[#This Row],[Audit Candidate 11]]-Audit[[#This Row],[Candidate 11]], "")</f>
        <v/>
      </c>
      <c r="AP380" s="114" t="str">
        <f>IF(NOT(ISBLANK(Audit[[#This Row],[Audit Candidate 12]])), Audit[[#This Row],[Audit Candidate 12]]-Audit[[#This Row],[Candidate 12]], "")</f>
        <v/>
      </c>
      <c r="AQ380" s="114">
        <f>SUMIF(Audit[[#This Row],[Difference Winner]:[Difference Candidate 12]], "&gt;0")</f>
        <v>0</v>
      </c>
      <c r="AR380" s="114">
        <f>SUM(Audit[[#This Row],[Difference Winner]:[Difference Candidate 12]])</f>
        <v>0</v>
      </c>
      <c r="AS380" s="114">
        <f>IF(Audit[[#This Row],[Times p Drawn - With Replacement]]&gt;0, IF(Audit[[#This Row],[Canceled Differences]]&lt;0, Audit[[#This Row],[Max Differences]]+ABS(Audit[[#This Row],[Canceled Differences]]), Audit[[#This Row],[Max Differences]]), 0)</f>
        <v>0</v>
      </c>
      <c r="AT380" s="114">
        <f>'Sampling Data'!AB380</f>
        <v>1.8077239112571898E-2</v>
      </c>
      <c r="AU380" s="114">
        <f>IF(
      SUM(Audit[[#This Row],[Audit Losing Candidate]:[Audit Candidate 12]])
      &lt;&gt;0,
      (Audit[[#This Row],[Winning Candidate]]-Audit[[#This Row],[Losing Candidate]]-(Audit[[#This Row],[Audit Winning Candidate]]-Audit[[#This Row],[Audit Losing Candidate]]))/(Audit[[#Totals],[Winning Candidate]]-Audit[[#Totals],[Losing Candidate]]),
      0
)</f>
        <v>0</v>
      </c>
      <c r="AV38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0" s="114">
        <f>IF(Audit[[#This Row],[Max Relative Error (ep)]] = 0, 0, Audit[[#This Row],[Max Relative Error (ep)]]/Audit[[#This Row],[Error Bound (up) - Max. possible relative overstatement]])</f>
        <v>0</v>
      </c>
      <c r="BH38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0" s="114">
        <f t="shared" si="6"/>
        <v>1</v>
      </c>
      <c r="BJ380">
        <f>PRODUCT($BI$5:BI384)</f>
        <v>7.4038944863463699E-2</v>
      </c>
      <c r="BK380" s="119">
        <f>1 - Audit[[#This Row],[K-M P Value]]</f>
        <v>0.92596105513653626</v>
      </c>
      <c r="BL380" s="114" t="str">
        <f>IF(Audit[[#This Row],[K-M P Value]]&gt;1-'General Info'!$B$12,"Continue", "Stop")</f>
        <v>Stop</v>
      </c>
      <c r="BM380" s="120" t="b">
        <f>IF(Audit[[#This Row],[Status - Continue or stop audit]] = "Continue", TRUE, IF(BL379 = "Continue", TRUE, FALSE))</f>
        <v>0</v>
      </c>
      <c r="BN380" s="120"/>
    </row>
    <row r="381" spans="1:66" ht="15" hidden="1" customHeight="1" x14ac:dyDescent="0.35">
      <c r="A381" s="114" t="str">
        <f>'Sampling Data'!AI381</f>
        <v/>
      </c>
      <c r="B381" s="114" t="str">
        <f>'Sampling Data'!A381</f>
        <v>2616 CIN 26-P   (ED)</v>
      </c>
      <c r="C381" s="114">
        <f>'Sampling Data'!B381</f>
        <v>77</v>
      </c>
      <c r="D381" s="114">
        <f>'Sampling Data'!C381</f>
        <v>6</v>
      </c>
      <c r="E381" s="115">
        <f>'Sampling Data'!D381</f>
        <v>1</v>
      </c>
      <c r="F381" s="115">
        <f>'Sampling Data'!E381</f>
        <v>0</v>
      </c>
      <c r="G381" s="115">
        <f>'Sampling Data'!F381</f>
        <v>0</v>
      </c>
      <c r="H381" s="115">
        <f>'Sampling Data'!G381</f>
        <v>0</v>
      </c>
      <c r="I381" s="115">
        <f>'Sampling Data'!H381</f>
        <v>0</v>
      </c>
      <c r="J381" s="115">
        <f>'Sampling Data'!I381</f>
        <v>0</v>
      </c>
      <c r="K381" s="115">
        <f>'Sampling Data'!J381</f>
        <v>0</v>
      </c>
      <c r="L381" s="115">
        <f>'Sampling Data'!K381</f>
        <v>0</v>
      </c>
      <c r="M381" s="115">
        <f>'Sampling Data'!L381</f>
        <v>0</v>
      </c>
      <c r="N381" s="115">
        <f>'Sampling Data'!M381</f>
        <v>0</v>
      </c>
      <c r="O381" s="114">
        <f>'Sampling Data'!N381</f>
        <v>0</v>
      </c>
      <c r="P381" s="114">
        <f>'Sampling Data'!O381</f>
        <v>0</v>
      </c>
      <c r="Q381" s="114">
        <f>'Sampling Data'!P381</f>
        <v>84</v>
      </c>
      <c r="R381" s="114">
        <f>'Sampling Data'!AJ381</f>
        <v>0</v>
      </c>
      <c r="S381" s="116"/>
      <c r="T381" s="116"/>
      <c r="U381" s="117"/>
      <c r="V381" s="117"/>
      <c r="W381" s="116"/>
      <c r="X381" s="116"/>
      <c r="Y381" s="116"/>
      <c r="Z381" s="116"/>
      <c r="AA381" s="15"/>
      <c r="AB381" s="15"/>
      <c r="AC381" s="15"/>
      <c r="AD381" s="15"/>
      <c r="AE381" s="118" t="str">
        <f>IF(NOT(ISBLANK(Audit[[#This Row],[Audit Winning Candidate]])), Audit[[#This Row],[Audit Winning Candidate]]-Audit[[#This Row],[Winning Candidate]], "")</f>
        <v/>
      </c>
      <c r="AF381" s="114" t="str">
        <f>IF(NOT(ISBLANK(Audit[[#This Row],[Audit Losing Candidate]])), Audit[[#This Row],[Audit Losing Candidate]]-Audit[[#This Row],[Losing Candidate]], "")</f>
        <v/>
      </c>
      <c r="AG381" s="114" t="str">
        <f>IF(NOT(ISBLANK(Audit[[#This Row],[Audit Candidate 3]])), Audit[[#This Row],[Audit Candidate 3]]-Audit[[#This Row],[Candidate 3]], "")</f>
        <v/>
      </c>
      <c r="AH381" s="114" t="str">
        <f>IF(NOT(ISBLANK(Audit[[#This Row],[Audit Candidate 4]])),Audit[[#This Row],[Audit Candidate 4]]-Audit[[#This Row],[Candidate 4]], "")</f>
        <v/>
      </c>
      <c r="AI381" s="114" t="str">
        <f>IF(NOT(ISBLANK(Audit[[#This Row],[Audit Candidate 5]])), Audit[[#This Row],[Audit Candidate 5]]-Audit[[#This Row],[Candidate 5]], "")</f>
        <v/>
      </c>
      <c r="AJ381" s="114" t="str">
        <f>IF(NOT(ISBLANK(Audit[[#This Row],[Audit Candidate 6]])), Audit[[#This Row],[Audit Candidate 6]]-Audit[[#This Row],[Candidate 6]], "")</f>
        <v/>
      </c>
      <c r="AK381" s="114" t="str">
        <f>IF(NOT(ISBLANK(Audit[[#This Row],[Audit Candidate 7]])), Audit[[#This Row],[Audit Candidate 7]]-Audit[[#This Row],[Candidate 7]], "")</f>
        <v/>
      </c>
      <c r="AL381" s="114" t="str">
        <f>IF(NOT(ISBLANK(Audit[[#This Row],[Audit Candidate 8]])), Audit[[#This Row],[Audit Candidate 8]]-Audit[[#This Row],[Candidate 8]], "")</f>
        <v/>
      </c>
      <c r="AM381" s="114" t="str">
        <f>IF(NOT(ISBLANK(Audit[[#This Row],[Audit Candidate 9]])), Audit[[#This Row],[Audit Candidate 9]]-Audit[[#This Row],[Candidate 9]], "")</f>
        <v/>
      </c>
      <c r="AN381" s="114" t="str">
        <f>IF(NOT(ISBLANK(Audit[[#This Row],[Audit Candidate 10]])), Audit[[#This Row],[Audit Candidate 10]]-Audit[[#This Row],[Candidate 10]], "")</f>
        <v/>
      </c>
      <c r="AO381" s="114" t="str">
        <f>IF(NOT(ISBLANK(Audit[[#This Row],[Audit Candidate 11]])), Audit[[#This Row],[Audit Candidate 11]]-Audit[[#This Row],[Candidate 11]], "")</f>
        <v/>
      </c>
      <c r="AP381" s="114" t="str">
        <f>IF(NOT(ISBLANK(Audit[[#This Row],[Audit Candidate 12]])), Audit[[#This Row],[Audit Candidate 12]]-Audit[[#This Row],[Candidate 12]], "")</f>
        <v/>
      </c>
      <c r="AQ381" s="114">
        <f>SUMIF(Audit[[#This Row],[Difference Winner]:[Difference Candidate 12]], "&gt;0")</f>
        <v>0</v>
      </c>
      <c r="AR381" s="114">
        <f>SUM(Audit[[#This Row],[Difference Winner]:[Difference Candidate 12]])</f>
        <v>0</v>
      </c>
      <c r="AS381" s="114">
        <f>IF(Audit[[#This Row],[Times p Drawn - With Replacement]]&gt;0, IF(Audit[[#This Row],[Canceled Differences]]&lt;0, Audit[[#This Row],[Max Differences]]+ABS(Audit[[#This Row],[Canceled Differences]]), Audit[[#This Row],[Max Differences]]), 0)</f>
        <v>0</v>
      </c>
      <c r="AT381" s="114">
        <f>'Sampling Data'!AB381</f>
        <v>9.7971051134567982E-3</v>
      </c>
      <c r="AU381" s="114">
        <f>IF(
      SUM(Audit[[#This Row],[Audit Losing Candidate]:[Audit Candidate 12]])
      &lt;&gt;0,
      (Audit[[#This Row],[Winning Candidate]]-Audit[[#This Row],[Losing Candidate]]-(Audit[[#This Row],[Audit Winning Candidate]]-Audit[[#This Row],[Audit Losing Candidate]]))/(Audit[[#Totals],[Winning Candidate]]-Audit[[#Totals],[Losing Candidate]]),
      0
)</f>
        <v>0</v>
      </c>
      <c r="AV38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1" s="114">
        <f>IF(Audit[[#This Row],[Max Relative Error (ep)]] = 0, 0, Audit[[#This Row],[Max Relative Error (ep)]]/Audit[[#This Row],[Error Bound (up) - Max. possible relative overstatement]])</f>
        <v>0</v>
      </c>
      <c r="BH38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1" s="114">
        <f t="shared" ref="BI381:BI384" si="7">IF(ISERR(POWER(BH381,R381)), 0, POWER(BH381,R381))</f>
        <v>1</v>
      </c>
      <c r="BJ381" s="114">
        <f>PRODUCT($BI$5:BI381)</f>
        <v>7.4038944863463699E-2</v>
      </c>
      <c r="BK381" s="112">
        <f>1 - Audit[[#This Row],[K-M P Value]]</f>
        <v>0.92596105513653626</v>
      </c>
      <c r="BL381" s="114" t="str">
        <f>IF(Audit[[#This Row],[K-M P Value]]&gt;1-'General Info'!$B$12,"Continue", "Stop")</f>
        <v>Stop</v>
      </c>
      <c r="BM381" s="113" t="b">
        <f>IF(Audit[[#This Row],[Status - Continue or stop audit]] = "Continue", TRUE, IF(BL380 = "Continue", TRUE, FALSE))</f>
        <v>0</v>
      </c>
      <c r="BN381" s="113"/>
    </row>
    <row r="382" spans="1:66" ht="15" hidden="1" customHeight="1" x14ac:dyDescent="0.35">
      <c r="A382" s="114" t="str">
        <f>'Sampling Data'!AI382</f>
        <v/>
      </c>
      <c r="B382" s="114" t="str">
        <f>'Sampling Data'!A382</f>
        <v>2617 CIN 26-Q   (ED)</v>
      </c>
      <c r="C382" s="114">
        <f>'Sampling Data'!B382</f>
        <v>26</v>
      </c>
      <c r="D382" s="114">
        <f>'Sampling Data'!C382</f>
        <v>2</v>
      </c>
      <c r="E382" s="115">
        <f>'Sampling Data'!D382</f>
        <v>1</v>
      </c>
      <c r="F382" s="115">
        <f>'Sampling Data'!E382</f>
        <v>0</v>
      </c>
      <c r="G382" s="115">
        <f>'Sampling Data'!F382</f>
        <v>0</v>
      </c>
      <c r="H382" s="115">
        <f>'Sampling Data'!G382</f>
        <v>0</v>
      </c>
      <c r="I382" s="115">
        <f>'Sampling Data'!H382</f>
        <v>0</v>
      </c>
      <c r="J382" s="115">
        <f>'Sampling Data'!I382</f>
        <v>0</v>
      </c>
      <c r="K382" s="115">
        <f>'Sampling Data'!J382</f>
        <v>0</v>
      </c>
      <c r="L382" s="115">
        <f>'Sampling Data'!K382</f>
        <v>0</v>
      </c>
      <c r="M382" s="115">
        <f>'Sampling Data'!L382</f>
        <v>0</v>
      </c>
      <c r="N382" s="115">
        <f>'Sampling Data'!M382</f>
        <v>0</v>
      </c>
      <c r="O382" s="114">
        <f>'Sampling Data'!N382</f>
        <v>0</v>
      </c>
      <c r="P382" s="114">
        <f>'Sampling Data'!O382</f>
        <v>0</v>
      </c>
      <c r="Q382" s="114">
        <f>'Sampling Data'!P382</f>
        <v>29</v>
      </c>
      <c r="R382" s="114">
        <f>'Sampling Data'!AJ382</f>
        <v>0</v>
      </c>
      <c r="S382" s="116"/>
      <c r="T382" s="116"/>
      <c r="U382" s="117"/>
      <c r="V382" s="117"/>
      <c r="W382" s="116"/>
      <c r="X382" s="116"/>
      <c r="Y382" s="116"/>
      <c r="Z382" s="116"/>
      <c r="AA382" s="15"/>
      <c r="AB382" s="15"/>
      <c r="AC382" s="15"/>
      <c r="AD382" s="15"/>
      <c r="AE382" s="118" t="str">
        <f>IF(NOT(ISBLANK(Audit[[#This Row],[Audit Winning Candidate]])), Audit[[#This Row],[Audit Winning Candidate]]-Audit[[#This Row],[Winning Candidate]], "")</f>
        <v/>
      </c>
      <c r="AF382" s="114" t="str">
        <f>IF(NOT(ISBLANK(Audit[[#This Row],[Audit Losing Candidate]])), Audit[[#This Row],[Audit Losing Candidate]]-Audit[[#This Row],[Losing Candidate]], "")</f>
        <v/>
      </c>
      <c r="AG382" s="114" t="str">
        <f>IF(NOT(ISBLANK(Audit[[#This Row],[Audit Candidate 3]])), Audit[[#This Row],[Audit Candidate 3]]-Audit[[#This Row],[Candidate 3]], "")</f>
        <v/>
      </c>
      <c r="AH382" s="114" t="str">
        <f>IF(NOT(ISBLANK(Audit[[#This Row],[Audit Candidate 4]])),Audit[[#This Row],[Audit Candidate 4]]-Audit[[#This Row],[Candidate 4]], "")</f>
        <v/>
      </c>
      <c r="AI382" s="114" t="str">
        <f>IF(NOT(ISBLANK(Audit[[#This Row],[Audit Candidate 5]])), Audit[[#This Row],[Audit Candidate 5]]-Audit[[#This Row],[Candidate 5]], "")</f>
        <v/>
      </c>
      <c r="AJ382" s="114" t="str">
        <f>IF(NOT(ISBLANK(Audit[[#This Row],[Audit Candidate 6]])), Audit[[#This Row],[Audit Candidate 6]]-Audit[[#This Row],[Candidate 6]], "")</f>
        <v/>
      </c>
      <c r="AK382" s="114" t="str">
        <f>IF(NOT(ISBLANK(Audit[[#This Row],[Audit Candidate 7]])), Audit[[#This Row],[Audit Candidate 7]]-Audit[[#This Row],[Candidate 7]], "")</f>
        <v/>
      </c>
      <c r="AL382" s="114" t="str">
        <f>IF(NOT(ISBLANK(Audit[[#This Row],[Audit Candidate 8]])), Audit[[#This Row],[Audit Candidate 8]]-Audit[[#This Row],[Candidate 8]], "")</f>
        <v/>
      </c>
      <c r="AM382" s="114" t="str">
        <f>IF(NOT(ISBLANK(Audit[[#This Row],[Audit Candidate 9]])), Audit[[#This Row],[Audit Candidate 9]]-Audit[[#This Row],[Candidate 9]], "")</f>
        <v/>
      </c>
      <c r="AN382" s="114" t="str">
        <f>IF(NOT(ISBLANK(Audit[[#This Row],[Audit Candidate 10]])), Audit[[#This Row],[Audit Candidate 10]]-Audit[[#This Row],[Candidate 10]], "")</f>
        <v/>
      </c>
      <c r="AO382" s="114" t="str">
        <f>IF(NOT(ISBLANK(Audit[[#This Row],[Audit Candidate 11]])), Audit[[#This Row],[Audit Candidate 11]]-Audit[[#This Row],[Candidate 11]], "")</f>
        <v/>
      </c>
      <c r="AP382" s="114" t="str">
        <f>IF(NOT(ISBLANK(Audit[[#This Row],[Audit Candidate 12]])), Audit[[#This Row],[Audit Candidate 12]]-Audit[[#This Row],[Candidate 12]], "")</f>
        <v/>
      </c>
      <c r="AQ382" s="114">
        <f>SUMIF(Audit[[#This Row],[Difference Winner]:[Difference Candidate 12]], "&gt;0")</f>
        <v>0</v>
      </c>
      <c r="AR382" s="114">
        <f>SUM(Audit[[#This Row],[Difference Winner]:[Difference Candidate 12]])</f>
        <v>0</v>
      </c>
      <c r="AS382" s="114">
        <f>IF(Audit[[#This Row],[Times p Drawn - With Replacement]]&gt;0, IF(Audit[[#This Row],[Canceled Differences]]&lt;0, Audit[[#This Row],[Max Differences]]+ABS(Audit[[#This Row],[Canceled Differences]]), Audit[[#This Row],[Max Differences]]), 0)</f>
        <v>0</v>
      </c>
      <c r="AT382" s="114">
        <f>'Sampling Data'!AB382</f>
        <v>3.3499778775045825E-3</v>
      </c>
      <c r="AU382" s="114">
        <f>IF(
      SUM(Audit[[#This Row],[Audit Losing Candidate]:[Audit Candidate 12]])
      &lt;&gt;0,
      (Audit[[#This Row],[Winning Candidate]]-Audit[[#This Row],[Losing Candidate]]-(Audit[[#This Row],[Audit Winning Candidate]]-Audit[[#This Row],[Audit Losing Candidate]]))/(Audit[[#Totals],[Winning Candidate]]-Audit[[#Totals],[Losing Candidate]]),
      0
)</f>
        <v>0</v>
      </c>
      <c r="AV38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2" s="114">
        <f>IF(Audit[[#This Row],[Max Relative Error (ep)]] = 0, 0, Audit[[#This Row],[Max Relative Error (ep)]]/Audit[[#This Row],[Error Bound (up) - Max. possible relative overstatement]])</f>
        <v>0</v>
      </c>
      <c r="BH38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2" s="114">
        <f t="shared" si="7"/>
        <v>1</v>
      </c>
      <c r="BJ382" s="114">
        <f>PRODUCT($BI$5:BI382)</f>
        <v>7.4038944863463699E-2</v>
      </c>
      <c r="BK382" s="112">
        <f>1 - Audit[[#This Row],[K-M P Value]]</f>
        <v>0.92596105513653626</v>
      </c>
      <c r="BL382" s="114" t="str">
        <f>IF(Audit[[#This Row],[K-M P Value]]&gt;1-'General Info'!$B$12,"Continue", "Stop")</f>
        <v>Stop</v>
      </c>
      <c r="BM382" s="113" t="b">
        <f>IF(Audit[[#This Row],[Status - Continue or stop audit]] = "Continue", TRUE, IF(BL381 = "Continue", TRUE, FALSE))</f>
        <v>0</v>
      </c>
      <c r="BN382" s="113"/>
    </row>
    <row r="383" spans="1:66" ht="15" hidden="1" customHeight="1" x14ac:dyDescent="0.35">
      <c r="A383" s="114" t="str">
        <f>'Sampling Data'!AI383</f>
        <v/>
      </c>
      <c r="B383" s="114" t="str">
        <f>'Sampling Data'!A383</f>
        <v>2618 CIN 26-R   (ED)</v>
      </c>
      <c r="C383" s="114">
        <f>'Sampling Data'!B383</f>
        <v>23</v>
      </c>
      <c r="D383" s="114">
        <f>'Sampling Data'!C383</f>
        <v>4</v>
      </c>
      <c r="E383" s="115">
        <f>'Sampling Data'!D383</f>
        <v>1</v>
      </c>
      <c r="F383" s="115">
        <f>'Sampling Data'!E383</f>
        <v>0</v>
      </c>
      <c r="G383" s="115">
        <f>'Sampling Data'!F383</f>
        <v>0</v>
      </c>
      <c r="H383" s="115">
        <f>'Sampling Data'!G383</f>
        <v>0</v>
      </c>
      <c r="I383" s="115">
        <f>'Sampling Data'!H383</f>
        <v>0</v>
      </c>
      <c r="J383" s="115">
        <f>'Sampling Data'!I383</f>
        <v>0</v>
      </c>
      <c r="K383" s="115">
        <f>'Sampling Data'!J383</f>
        <v>0</v>
      </c>
      <c r="L383" s="115">
        <f>'Sampling Data'!K383</f>
        <v>0</v>
      </c>
      <c r="M383" s="115">
        <f>'Sampling Data'!L383</f>
        <v>0</v>
      </c>
      <c r="N383" s="115">
        <f>'Sampling Data'!M383</f>
        <v>0</v>
      </c>
      <c r="O383" s="114">
        <f>'Sampling Data'!N383</f>
        <v>0</v>
      </c>
      <c r="P383" s="114">
        <f>'Sampling Data'!O383</f>
        <v>0</v>
      </c>
      <c r="Q383" s="114">
        <f>'Sampling Data'!P383</f>
        <v>28</v>
      </c>
      <c r="R383" s="114">
        <f>'Sampling Data'!AJ383</f>
        <v>0</v>
      </c>
      <c r="S383" s="116"/>
      <c r="T383" s="116"/>
      <c r="U383" s="117"/>
      <c r="V383" s="117"/>
      <c r="W383" s="116"/>
      <c r="X383" s="116"/>
      <c r="Y383" s="116"/>
      <c r="Z383" s="116"/>
      <c r="AA383" s="15"/>
      <c r="AB383" s="15"/>
      <c r="AC383" s="15"/>
      <c r="AD383" s="15"/>
      <c r="AE383" s="118" t="str">
        <f>IF(NOT(ISBLANK(Audit[[#This Row],[Audit Winning Candidate]])), Audit[[#This Row],[Audit Winning Candidate]]-Audit[[#This Row],[Winning Candidate]], "")</f>
        <v/>
      </c>
      <c r="AF383" s="114" t="str">
        <f>IF(NOT(ISBLANK(Audit[[#This Row],[Audit Losing Candidate]])), Audit[[#This Row],[Audit Losing Candidate]]-Audit[[#This Row],[Losing Candidate]], "")</f>
        <v/>
      </c>
      <c r="AG383" s="114" t="str">
        <f>IF(NOT(ISBLANK(Audit[[#This Row],[Audit Candidate 3]])), Audit[[#This Row],[Audit Candidate 3]]-Audit[[#This Row],[Candidate 3]], "")</f>
        <v/>
      </c>
      <c r="AH383" s="114" t="str">
        <f>IF(NOT(ISBLANK(Audit[[#This Row],[Audit Candidate 4]])),Audit[[#This Row],[Audit Candidate 4]]-Audit[[#This Row],[Candidate 4]], "")</f>
        <v/>
      </c>
      <c r="AI383" s="114" t="str">
        <f>IF(NOT(ISBLANK(Audit[[#This Row],[Audit Candidate 5]])), Audit[[#This Row],[Audit Candidate 5]]-Audit[[#This Row],[Candidate 5]], "")</f>
        <v/>
      </c>
      <c r="AJ383" s="114" t="str">
        <f>IF(NOT(ISBLANK(Audit[[#This Row],[Audit Candidate 6]])), Audit[[#This Row],[Audit Candidate 6]]-Audit[[#This Row],[Candidate 6]], "")</f>
        <v/>
      </c>
      <c r="AK383" s="114" t="str">
        <f>IF(NOT(ISBLANK(Audit[[#This Row],[Audit Candidate 7]])), Audit[[#This Row],[Audit Candidate 7]]-Audit[[#This Row],[Candidate 7]], "")</f>
        <v/>
      </c>
      <c r="AL383" s="114" t="str">
        <f>IF(NOT(ISBLANK(Audit[[#This Row],[Audit Candidate 8]])), Audit[[#This Row],[Audit Candidate 8]]-Audit[[#This Row],[Candidate 8]], "")</f>
        <v/>
      </c>
      <c r="AM383" s="114" t="str">
        <f>IF(NOT(ISBLANK(Audit[[#This Row],[Audit Candidate 9]])), Audit[[#This Row],[Audit Candidate 9]]-Audit[[#This Row],[Candidate 9]], "")</f>
        <v/>
      </c>
      <c r="AN383" s="114" t="str">
        <f>IF(NOT(ISBLANK(Audit[[#This Row],[Audit Candidate 10]])), Audit[[#This Row],[Audit Candidate 10]]-Audit[[#This Row],[Candidate 10]], "")</f>
        <v/>
      </c>
      <c r="AO383" s="114" t="str">
        <f>IF(NOT(ISBLANK(Audit[[#This Row],[Audit Candidate 11]])), Audit[[#This Row],[Audit Candidate 11]]-Audit[[#This Row],[Candidate 11]], "")</f>
        <v/>
      </c>
      <c r="AP383" s="114" t="str">
        <f>IF(NOT(ISBLANK(Audit[[#This Row],[Audit Candidate 12]])), Audit[[#This Row],[Audit Candidate 12]]-Audit[[#This Row],[Candidate 12]], "")</f>
        <v/>
      </c>
      <c r="AQ383" s="114">
        <f>SUMIF(Audit[[#This Row],[Difference Winner]:[Difference Candidate 12]], "&gt;0")</f>
        <v>0</v>
      </c>
      <c r="AR383" s="114">
        <f>SUM(Audit[[#This Row],[Difference Winner]:[Difference Candidate 12]])</f>
        <v>0</v>
      </c>
      <c r="AS383" s="114">
        <f>IF(Audit[[#This Row],[Times p Drawn - With Replacement]]&gt;0, IF(Audit[[#This Row],[Canceled Differences]]&lt;0, Audit[[#This Row],[Max Differences]]+ABS(Audit[[#This Row],[Canceled Differences]]), Audit[[#This Row],[Max Differences]]), 0)</f>
        <v>0</v>
      </c>
      <c r="AT383" s="114">
        <f>'Sampling Data'!AB383</f>
        <v>2.970735098919158E-3</v>
      </c>
      <c r="AU383" s="114">
        <f>IF(
      SUM(Audit[[#This Row],[Audit Losing Candidate]:[Audit Candidate 12]])
      &lt;&gt;0,
      (Audit[[#This Row],[Winning Candidate]]-Audit[[#This Row],[Losing Candidate]]-(Audit[[#This Row],[Audit Winning Candidate]]-Audit[[#This Row],[Audit Losing Candidate]]))/(Audit[[#Totals],[Winning Candidate]]-Audit[[#Totals],[Losing Candidate]]),
      0
)</f>
        <v>0</v>
      </c>
      <c r="AV38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3" s="114">
        <f>IF(Audit[[#This Row],[Max Relative Error (ep)]] = 0, 0, Audit[[#This Row],[Max Relative Error (ep)]]/Audit[[#This Row],[Error Bound (up) - Max. possible relative overstatement]])</f>
        <v>0</v>
      </c>
      <c r="BH38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3" s="114">
        <f t="shared" si="7"/>
        <v>1</v>
      </c>
      <c r="BJ383" s="114">
        <f>PRODUCT($BI$5:BI383)</f>
        <v>7.4038944863463699E-2</v>
      </c>
      <c r="BK383" s="112">
        <f>1 - Audit[[#This Row],[K-M P Value]]</f>
        <v>0.92596105513653626</v>
      </c>
      <c r="BL383" s="114" t="str">
        <f>IF(Audit[[#This Row],[K-M P Value]]&gt;1-'General Info'!$B$12,"Continue", "Stop")</f>
        <v>Stop</v>
      </c>
      <c r="BM383" s="113" t="b">
        <f>IF(Audit[[#This Row],[Status - Continue or stop audit]] = "Continue", TRUE, IF(BL382 = "Continue", TRUE, FALSE))</f>
        <v>0</v>
      </c>
      <c r="BN383" s="113"/>
    </row>
    <row r="384" spans="1:66" ht="15" hidden="1" customHeight="1" thickBot="1" x14ac:dyDescent="0.4">
      <c r="A384" s="114" t="str">
        <f>'Sampling Data'!AI384</f>
        <v/>
      </c>
      <c r="B384" s="114" t="str">
        <f>'Sampling Data'!A384</f>
        <v>2619 CIN 26-S   (ED)</v>
      </c>
      <c r="C384" s="114">
        <f>'Sampling Data'!B384</f>
        <v>31</v>
      </c>
      <c r="D384" s="114">
        <f>'Sampling Data'!C384</f>
        <v>8</v>
      </c>
      <c r="E384" s="115">
        <f>'Sampling Data'!D384</f>
        <v>0</v>
      </c>
      <c r="F384" s="115">
        <f>'Sampling Data'!E384</f>
        <v>0</v>
      </c>
      <c r="G384" s="115">
        <f>'Sampling Data'!F384</f>
        <v>0</v>
      </c>
      <c r="H384" s="115">
        <f>'Sampling Data'!G384</f>
        <v>0</v>
      </c>
      <c r="I384" s="115">
        <f>'Sampling Data'!H384</f>
        <v>0</v>
      </c>
      <c r="J384" s="115">
        <f>'Sampling Data'!I384</f>
        <v>0</v>
      </c>
      <c r="K384" s="115">
        <f>'Sampling Data'!J384</f>
        <v>0</v>
      </c>
      <c r="L384" s="115">
        <f>'Sampling Data'!K384</f>
        <v>0</v>
      </c>
      <c r="M384" s="115">
        <f>'Sampling Data'!L384</f>
        <v>0</v>
      </c>
      <c r="N384" s="115">
        <f>'Sampling Data'!M384</f>
        <v>0</v>
      </c>
      <c r="O384" s="114">
        <f>'Sampling Data'!N384</f>
        <v>0</v>
      </c>
      <c r="P384" s="114">
        <f>'Sampling Data'!O384</f>
        <v>0</v>
      </c>
      <c r="Q384" s="114">
        <f>'Sampling Data'!P384</f>
        <v>39</v>
      </c>
      <c r="R384" s="114">
        <f>'Sampling Data'!AJ384</f>
        <v>0</v>
      </c>
      <c r="S384" s="116"/>
      <c r="T384" s="116"/>
      <c r="U384" s="117"/>
      <c r="V384" s="117"/>
      <c r="W384" s="116"/>
      <c r="X384" s="116"/>
      <c r="Y384" s="116"/>
      <c r="Z384" s="116"/>
      <c r="AA384" s="15"/>
      <c r="AB384" s="15"/>
      <c r="AC384" s="15"/>
      <c r="AD384" s="15"/>
      <c r="AE384" s="118" t="str">
        <f>IF(NOT(ISBLANK(Audit[[#This Row],[Audit Winning Candidate]])), Audit[[#This Row],[Audit Winning Candidate]]-Audit[[#This Row],[Winning Candidate]], "")</f>
        <v/>
      </c>
      <c r="AF384" s="114" t="str">
        <f>IF(NOT(ISBLANK(Audit[[#This Row],[Audit Losing Candidate]])), Audit[[#This Row],[Audit Losing Candidate]]-Audit[[#This Row],[Losing Candidate]], "")</f>
        <v/>
      </c>
      <c r="AG384" s="114" t="str">
        <f>IF(NOT(ISBLANK(Audit[[#This Row],[Audit Candidate 3]])), Audit[[#This Row],[Audit Candidate 3]]-Audit[[#This Row],[Candidate 3]], "")</f>
        <v/>
      </c>
      <c r="AH384" s="114" t="str">
        <f>IF(NOT(ISBLANK(Audit[[#This Row],[Audit Candidate 4]])),Audit[[#This Row],[Audit Candidate 4]]-Audit[[#This Row],[Candidate 4]], "")</f>
        <v/>
      </c>
      <c r="AI384" s="114" t="str">
        <f>IF(NOT(ISBLANK(Audit[[#This Row],[Audit Candidate 5]])), Audit[[#This Row],[Audit Candidate 5]]-Audit[[#This Row],[Candidate 5]], "")</f>
        <v/>
      </c>
      <c r="AJ384" s="114" t="str">
        <f>IF(NOT(ISBLANK(Audit[[#This Row],[Audit Candidate 6]])), Audit[[#This Row],[Audit Candidate 6]]-Audit[[#This Row],[Candidate 6]], "")</f>
        <v/>
      </c>
      <c r="AK384" s="114" t="str">
        <f>IF(NOT(ISBLANK(Audit[[#This Row],[Audit Candidate 7]])), Audit[[#This Row],[Audit Candidate 7]]-Audit[[#This Row],[Candidate 7]], "")</f>
        <v/>
      </c>
      <c r="AL384" s="114" t="str">
        <f>IF(NOT(ISBLANK(Audit[[#This Row],[Audit Candidate 8]])), Audit[[#This Row],[Audit Candidate 8]]-Audit[[#This Row],[Candidate 8]], "")</f>
        <v/>
      </c>
      <c r="AM384" s="114" t="str">
        <f>IF(NOT(ISBLANK(Audit[[#This Row],[Audit Candidate 9]])), Audit[[#This Row],[Audit Candidate 9]]-Audit[[#This Row],[Candidate 9]], "")</f>
        <v/>
      </c>
      <c r="AN384" s="114" t="str">
        <f>IF(NOT(ISBLANK(Audit[[#This Row],[Audit Candidate 10]])), Audit[[#This Row],[Audit Candidate 10]]-Audit[[#This Row],[Candidate 10]], "")</f>
        <v/>
      </c>
      <c r="AO384" s="114" t="str">
        <f>IF(NOT(ISBLANK(Audit[[#This Row],[Audit Candidate 11]])), Audit[[#This Row],[Audit Candidate 11]]-Audit[[#This Row],[Candidate 11]], "")</f>
        <v/>
      </c>
      <c r="AP384" s="114" t="str">
        <f>IF(NOT(ISBLANK(Audit[[#This Row],[Audit Candidate 12]])), Audit[[#This Row],[Audit Candidate 12]]-Audit[[#This Row],[Candidate 12]], "")</f>
        <v/>
      </c>
      <c r="AQ384" s="114">
        <f>SUMIF(Audit[[#This Row],[Difference Winner]:[Difference Candidate 12]], "&gt;0")</f>
        <v>0</v>
      </c>
      <c r="AR384" s="114">
        <f>SUM(Audit[[#This Row],[Difference Winner]:[Difference Candidate 12]])</f>
        <v>0</v>
      </c>
      <c r="AS384" s="114">
        <f>IF(Audit[[#This Row],[Times p Drawn - With Replacement]]&gt;0, IF(Audit[[#This Row],[Canceled Differences]]&lt;0, Audit[[#This Row],[Max Differences]]+ABS(Audit[[#This Row],[Canceled Differences]]), Audit[[#This Row],[Max Differences]]), 0)</f>
        <v>0</v>
      </c>
      <c r="AT384" s="114">
        <f>'Sampling Data'!AB384</f>
        <v>3.9512305260781212E-3</v>
      </c>
      <c r="AU384" s="114">
        <f>IF(
      SUM(Audit[[#This Row],[Audit Losing Candidate]:[Audit Candidate 12]])
      &lt;&gt;0,
      (Audit[[#This Row],[Winning Candidate]]-Audit[[#This Row],[Losing Candidate]]-(Audit[[#This Row],[Audit Winning Candidate]]-Audit[[#This Row],[Audit Losing Candidate]]))/(Audit[[#Totals],[Winning Candidate]]-Audit[[#Totals],[Losing Candidate]]),
      0
)</f>
        <v>0</v>
      </c>
      <c r="AV38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4" s="114">
        <f>IF(Audit[[#This Row],[Max Relative Error (ep)]] = 0, 0, Audit[[#This Row],[Max Relative Error (ep)]]/Audit[[#This Row],[Error Bound (up) - Max. possible relative overstatement]])</f>
        <v>0</v>
      </c>
      <c r="BH38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0.59414444935226851</v>
      </c>
      <c r="BI384" s="114">
        <f t="shared" si="7"/>
        <v>1</v>
      </c>
      <c r="BJ384" s="114">
        <f>PRODUCT($BI$5:BI384)</f>
        <v>7.4038944863463699E-2</v>
      </c>
      <c r="BK384" s="119">
        <f>1 - Audit[[#This Row],[K-M P Value]]</f>
        <v>0.92596105513653626</v>
      </c>
      <c r="BL384" s="114" t="str">
        <f>IF(Audit[[#This Row],[K-M P Value]]&gt;1-'General Info'!$B$12,"Continue", "Stop")</f>
        <v>Stop</v>
      </c>
      <c r="BM384" s="120" t="b">
        <f>IF(Audit[[#This Row],[Status - Continue or stop audit]] = "Continue", TRUE, IF(BL383 = "Continue", TRUE, FALSE))</f>
        <v>0</v>
      </c>
      <c r="BN384" s="120"/>
    </row>
    <row r="385" spans="1:66" ht="15" customHeight="1" thickTop="1" x14ac:dyDescent="0.35">
      <c r="A385" s="107" t="s">
        <v>0</v>
      </c>
      <c r="B385" s="108">
        <f>SUBTOTAL(103,Audit[Precinct (p) - Batched by Type])</f>
        <v>5</v>
      </c>
      <c r="C385" s="109">
        <f>SUM(Audit[Winning Candidate])</f>
        <v>18747</v>
      </c>
      <c r="D385" s="109">
        <f>SUM(Audit[Losing Candidate])</f>
        <v>2926</v>
      </c>
      <c r="E385" s="109">
        <f>SUM(Audit[Candidate 3])</f>
        <v>1031</v>
      </c>
      <c r="F385" s="109">
        <f>SUM(Audit[Candidate 4])</f>
        <v>0</v>
      </c>
      <c r="G385" s="109">
        <f>SUM(Audit[Candidate 5])</f>
        <v>0</v>
      </c>
      <c r="H385" s="109">
        <f>SUM(Audit[Candidate 6])</f>
        <v>0</v>
      </c>
      <c r="I385" s="109">
        <f>SUM(Audit[Candidate 7])</f>
        <v>0</v>
      </c>
      <c r="J385" s="109">
        <f>SUM(Audit[Candidate 8])</f>
        <v>0</v>
      </c>
      <c r="K385" s="109">
        <f>SUM(Audit[Candidate 9])</f>
        <v>0</v>
      </c>
      <c r="L385" s="109">
        <f>SUM(Audit[Candidate 10])</f>
        <v>0</v>
      </c>
      <c r="M385" s="109">
        <f>SUM(Audit[Candidate 11])</f>
        <v>0</v>
      </c>
      <c r="N385" s="109">
        <f>SUM(Audit[Candidate 12])</f>
        <v>0</v>
      </c>
      <c r="O385" s="109">
        <f>SUM(Audit[Over Votes])</f>
        <v>17</v>
      </c>
      <c r="P385" s="109">
        <f>SUM(Audit[Under Votes])</f>
        <v>203</v>
      </c>
      <c r="Q385" s="109">
        <f>SUM(Audit[Total])</f>
        <v>22924</v>
      </c>
      <c r="R385" s="109">
        <f>SUM(Audit[Times p Drawn - With Replacement])</f>
        <v>5</v>
      </c>
      <c r="S385" s="109">
        <f>SUM(Audit[Audit Winning Candidate])</f>
        <v>179</v>
      </c>
      <c r="T385" s="109">
        <f>SUM(Audit[Audit Losing Candidate])</f>
        <v>19</v>
      </c>
      <c r="U385" s="109">
        <f>SUM(Audit[Audit Candidate 3])</f>
        <v>7</v>
      </c>
      <c r="V385" s="109">
        <f>SUM(Audit[Audit Candidate 4])</f>
        <v>0</v>
      </c>
      <c r="W385" s="109">
        <f>SUM(Audit[Audit Candidate 5])</f>
        <v>0</v>
      </c>
      <c r="X385" s="109">
        <f>SUM(Audit[Audit Candidate 6])</f>
        <v>0</v>
      </c>
      <c r="Y385" s="109">
        <f>SUM(Audit[Audit Candidate 7])</f>
        <v>0</v>
      </c>
      <c r="Z385" s="109">
        <f>SUM(Audit[Audit Candidate 8])</f>
        <v>0</v>
      </c>
      <c r="AA385" s="109">
        <f>SUM(Audit[Audit Candidate 9])</f>
        <v>0</v>
      </c>
      <c r="AB385" s="109">
        <f>SUM(Audit[Audit Candidate 10])</f>
        <v>0</v>
      </c>
      <c r="AC385" s="109">
        <f>SUM(Audit[Audit Candidate 11])</f>
        <v>0</v>
      </c>
      <c r="AD385" s="109">
        <f>SUM(Audit[Audit Candidate 12])</f>
        <v>0</v>
      </c>
      <c r="AE385" s="109">
        <f>SUM(Audit[Difference Winner])</f>
        <v>0</v>
      </c>
      <c r="AF385" s="109">
        <f>SUM(Audit[Difference Loser])</f>
        <v>0</v>
      </c>
      <c r="AG385" s="109">
        <f>SUM(Audit[Difference Candidate 3])</f>
        <v>0</v>
      </c>
      <c r="AH385" s="109">
        <f>SUM(Audit[Difference Candidate 4])</f>
        <v>0</v>
      </c>
      <c r="AI385" s="109">
        <f>SUM(Audit[Difference Candidate 5])</f>
        <v>0</v>
      </c>
      <c r="AJ385" s="109">
        <f>SUM(Audit[Difference Candidate 6])</f>
        <v>0</v>
      </c>
      <c r="AK385" s="109">
        <f>SUM(Audit[Difference Candidate 7])</f>
        <v>0</v>
      </c>
      <c r="AL385" s="109">
        <f>SUM(Audit[Difference Candidate 8])</f>
        <v>0</v>
      </c>
      <c r="AM385" s="109">
        <f>SUM(Audit[Difference Candidate 9])</f>
        <v>0</v>
      </c>
      <c r="AN385" s="109">
        <f>SUM(Audit[Difference Candidate 10])</f>
        <v>0</v>
      </c>
      <c r="AO385" s="109">
        <f>SUM(Audit[Difference Candidate 11])</f>
        <v>0</v>
      </c>
      <c r="AP385" s="109">
        <f>SUM(Audit[Difference Candidate 12])</f>
        <v>0</v>
      </c>
      <c r="AQ385" s="109">
        <f>SUM(Audit[Max Differences])</f>
        <v>0</v>
      </c>
      <c r="AR385" s="109">
        <f>SUM(Audit[Canceled Differences])</f>
        <v>0</v>
      </c>
      <c r="AS385" s="109">
        <f>SUM(Audit[Total Differences])</f>
        <v>0</v>
      </c>
      <c r="AT385" s="109">
        <f>SUM(Audit[Error Bound (up) - Max. possible relative overstatement])</f>
        <v>2.4639308207169632</v>
      </c>
      <c r="AU385" s="109">
        <f>SUM(Audit[Relative Error (ep) - Error Rate as a proportion of the margin of victory for Winning Candidate])</f>
        <v>0</v>
      </c>
      <c r="AV385" s="109">
        <f>SUM(Audit[Relative Error (ep) - Error Rate as a proportion of the margin of victory for  Candidate 3])</f>
        <v>0</v>
      </c>
      <c r="AW385" s="109">
        <f>SUM(Audit[Relative Error (ep) - Error Rate as a proportion of the margin of victory for  Candidate 4])</f>
        <v>0</v>
      </c>
      <c r="AX385" s="109">
        <f>SUM(Audit[Relative Error (ep) - Error Rate as a proportion of the margin of victory for  Candidate 5])</f>
        <v>0</v>
      </c>
      <c r="AY385" s="109">
        <f>SUM(Audit[Relative Error (ep) - Error Rate as a proportion of the margin of victory for  Candidate 6])</f>
        <v>0</v>
      </c>
      <c r="AZ385" s="109">
        <f>SUM(Audit[Relative Error (ep) - Error Rate as a proportion of the margin of victory for  Candidate 7])</f>
        <v>0</v>
      </c>
      <c r="BA385" s="109">
        <f>SUM(Audit[Relative Error (ep) - Error Rate as a proportion of the margin of victory for  Candidate 8])</f>
        <v>0</v>
      </c>
      <c r="BB385" s="109">
        <f>SUM(Audit[Relative Error (ep) - Error Rate as a proportion of the margin of victory for  Candidate 9])</f>
        <v>0</v>
      </c>
      <c r="BC385" s="109">
        <f>SUM(Audit[Relative Error (ep) - Error Rate as a proportion of the margin of victory for  Candidate 10])</f>
        <v>0</v>
      </c>
      <c r="BD385" s="109">
        <f>SUM(Audit[Relative Error (ep) - Error Rate as a proportion of the margin of victory for  Candidate 11])</f>
        <v>0</v>
      </c>
      <c r="BE385" s="109">
        <f>SUM(Audit[Relative Error (ep) - Error Rate as a proportion of the margin of victory for  Candidate 12])</f>
        <v>0</v>
      </c>
      <c r="BF385" s="109">
        <f>SUM(Audit[Max Relative Error (ep)])</f>
        <v>0</v>
      </c>
      <c r="BG385" s="109">
        <f>SUM(Audit[Taint (t) - Error rate as a proportion of the max possible relative overstatement])</f>
        <v>0</v>
      </c>
      <c r="BH385" s="109">
        <f>SUM(Audit[KM Factor])</f>
        <v>225.77489075386046</v>
      </c>
      <c r="BI385" s="109">
        <f>SUM(Audit[Net KM Factor - KM Factor taking into account pcts audited multiple times])</f>
        <v>377.97072224676134</v>
      </c>
      <c r="BJ385" s="109">
        <f>SUM(Audit[K-M P Value])</f>
        <v>98.845403924373841</v>
      </c>
      <c r="BK385" s="110">
        <f>SUBTOTAL(104,Audit[Confidence Level])</f>
        <v>0.92596105513653626</v>
      </c>
      <c r="BL385" s="111"/>
      <c r="BM385" s="108">
        <f>SUBTOTAL(103,Audit[Process Batch])</f>
        <v>5</v>
      </c>
      <c r="BN385" s="108"/>
    </row>
  </sheetData>
  <mergeCells count="4">
    <mergeCell ref="A2:R2"/>
    <mergeCell ref="AE2:BM2"/>
    <mergeCell ref="A1:BN1"/>
    <mergeCell ref="S2:Z2"/>
  </mergeCells>
  <conditionalFormatting sqref="BL5:BL384">
    <cfRule type="expression" dxfId="2" priority="1">
      <formula>AND($BK5 &gt;= $BO$1, $BM5)</formula>
    </cfRule>
    <cfRule type="expression" dxfId="1" priority="2">
      <formula>AND($BK5 &lt;$BO$1, $BK5 &gt;=$BO$1 - 0.05, $BM5)</formula>
    </cfRule>
    <cfRule type="expression" dxfId="0"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385"/>
  <sheetViews>
    <sheetView zoomScaleNormal="100" workbookViewId="0">
      <pane ySplit="4" topLeftCell="A5" activePane="bottomLeft" state="frozen"/>
      <selection pane="bottomLeft" activeCell="AD36" sqref="AD36"/>
    </sheetView>
  </sheetViews>
  <sheetFormatPr defaultRowHeight="15" customHeight="1" x14ac:dyDescent="0.35"/>
  <cols>
    <col min="1" max="1" width="39.54296875" bestFit="1" customWidth="1"/>
    <col min="2" max="2" width="13.54296875" bestFit="1" customWidth="1"/>
    <col min="3" max="3" width="11.7265625" bestFit="1" customWidth="1"/>
    <col min="4" max="4" width="14" customWidth="1"/>
    <col min="5" max="13" width="13.453125" hidden="1" customWidth="1"/>
    <col min="14" max="14" width="13.453125" customWidth="1"/>
    <col min="15" max="15" width="8.453125" customWidth="1"/>
    <col min="16" max="16" width="9.81640625" customWidth="1"/>
    <col min="17" max="17" width="17.1796875" hidden="1" customWidth="1"/>
    <col min="18" max="18" width="16.7265625" hidden="1" customWidth="1"/>
    <col min="19" max="19" width="17.7265625" hidden="1" customWidth="1"/>
    <col min="20" max="22" width="16" hidden="1" customWidth="1"/>
    <col min="23" max="27" width="17.453125" hidden="1" customWidth="1"/>
    <col min="28" max="29" width="14" hidden="1" customWidth="1"/>
    <col min="30" max="30" width="13.54296875" hidden="1" customWidth="1"/>
    <col min="31" max="31" width="20" bestFit="1" customWidth="1"/>
    <col min="32" max="32" width="17.26953125" hidden="1" customWidth="1"/>
    <col min="33" max="33" width="12.26953125" hidden="1" customWidth="1"/>
    <col min="34" max="34" width="17.26953125" hidden="1" customWidth="1"/>
    <col min="35" max="35" width="14.81640625" customWidth="1"/>
    <col min="36" max="36" width="13" customWidth="1"/>
    <col min="37" max="37" width="17.453125" customWidth="1"/>
  </cols>
  <sheetData>
    <row r="1" spans="1:36" s="1" customFormat="1" ht="15" customHeight="1" x14ac:dyDescent="0.35">
      <c r="A1" s="131" t="str">
        <f ca="1">MID(CELL("filename",$A$4), FIND("]", CELL("filename",$A$4)) + 1, 255)</f>
        <v>Sampling Data</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6"/>
    </row>
    <row r="2" spans="1:36" s="1" customFormat="1" ht="15" customHeight="1" x14ac:dyDescent="0.35">
      <c r="A2" s="133" t="s">
        <v>98</v>
      </c>
      <c r="B2" s="134"/>
      <c r="C2" s="134"/>
      <c r="D2" s="134"/>
      <c r="E2" s="134"/>
      <c r="F2" s="134"/>
      <c r="G2" s="134"/>
      <c r="H2" s="134"/>
      <c r="I2" s="134"/>
      <c r="J2" s="134"/>
      <c r="K2" s="134"/>
      <c r="L2" s="134"/>
      <c r="M2" s="134"/>
      <c r="N2" s="134"/>
      <c r="O2" s="135"/>
      <c r="P2" s="128" t="s">
        <v>99</v>
      </c>
      <c r="Q2" s="129"/>
      <c r="R2" s="129"/>
      <c r="S2" s="129"/>
      <c r="T2" s="129"/>
      <c r="U2" s="129"/>
      <c r="V2" s="129"/>
      <c r="W2" s="129"/>
      <c r="X2" s="129"/>
      <c r="Y2" s="129"/>
      <c r="Z2" s="129"/>
      <c r="AA2" s="129"/>
      <c r="AB2" s="129"/>
      <c r="AC2" s="129"/>
      <c r="AD2" s="129"/>
      <c r="AE2" s="129"/>
      <c r="AF2" s="129"/>
      <c r="AG2" s="129"/>
      <c r="AH2" s="129"/>
      <c r="AI2" s="129"/>
      <c r="AJ2" s="130"/>
    </row>
    <row r="3" spans="1:36" ht="84.75" customHeight="1" x14ac:dyDescent="0.35">
      <c r="A3" s="29" t="s">
        <v>94</v>
      </c>
      <c r="B3" s="29" t="str">
        <f>IF(ISBLANK('General Info'!$B$27), "UNDEFINED", 'General Info'!$B$27 &amp; "
(Declared Winner)")</f>
        <v>Pureval
(Declared Winner)</v>
      </c>
      <c r="C3" s="29" t="str">
        <f>IF(ISBLANK('General Info'!$B$28),"UNDEFINED",'General Info'!$B$28&amp;"
(Declared Loser)")</f>
        <v>Bowman
(Declared Loser)</v>
      </c>
      <c r="D3" s="29" t="str">
        <f>IF(ISBLANK('General Info'!$B$29), "UNDEFINED", 'General Info'!$B$29)</f>
        <v>Frank</v>
      </c>
      <c r="E3" s="29" t="str">
        <f>IF(ISBLANK('General Info'!$B$30), "UNDEFINED",'General Info'!$B$30)</f>
        <v>UNDEFINED</v>
      </c>
      <c r="F3" s="29" t="str">
        <f>IF(ISBLANK('General Info'!$B$31), "UNDEFINED",'General Info'!$B$31)</f>
        <v>UNDEFINED</v>
      </c>
      <c r="G3" s="29" t="str">
        <f>IF(ISBLANK('General Info'!$B$31), "UNDEFINED",'General Info'!$B$32)</f>
        <v>UNDEFINED</v>
      </c>
      <c r="H3" s="29" t="str">
        <f>IF(ISBLANK('General Info'!$B$31), "UNDEFINED",'General Info'!$B$33)</f>
        <v>UNDEFINED</v>
      </c>
      <c r="I3" s="29" t="str">
        <f>IF(ISBLANK('General Info'!$B$31), "UNDEFINED",'General Info'!$B$34)</f>
        <v>UNDEFINED</v>
      </c>
      <c r="J3" s="29" t="str">
        <f>IF(ISBLANK('General Info'!$B$31), "UNDEFINED",'General Info'!$B$35)</f>
        <v>UNDEFINED</v>
      </c>
      <c r="K3" s="29" t="str">
        <f>IF(ISBLANK('General Info'!$B$31), "UNDEFINED",'General Info'!$B$36)</f>
        <v>UNDEFINED</v>
      </c>
      <c r="L3" s="29" t="str">
        <f>IF(ISBLANK('General Info'!$B$31), "UNDEFINED",'General Info'!$B$37)</f>
        <v>UNDEFINED</v>
      </c>
      <c r="M3" s="29" t="str">
        <f>IF(ISBLANK('General Info'!$B$31), "UNDEFINED",'General Info'!$B$38)</f>
        <v>UNDEFINED</v>
      </c>
      <c r="N3" s="29" t="s">
        <v>6</v>
      </c>
      <c r="O3" s="31" t="s">
        <v>7</v>
      </c>
      <c r="P3" s="34" t="s">
        <v>0</v>
      </c>
      <c r="Q3" s="34" t="str">
        <f>"Error Bound (up) - " &amp; IF(ISBLANK('General Info'!$B$28), "UNDEFINED","
Max. possible relative overstatement for
" &amp; 'General Info'!$B$28) &amp; " (Loser)"</f>
        <v>Error Bound (up) - 
Max. possible relative overstatement for
Bowman (Loser)</v>
      </c>
      <c r="R3" s="34" t="str">
        <f>"Error Bound (up) - " &amp; IF(ISBLANK('General Info'!$B$29), "UNDEFINED","
Max. possible relative overstatement for
" &amp; 'General Info'!$B$29)</f>
        <v>Error Bound (up) - 
Max. possible relative overstatement for
Frank</v>
      </c>
      <c r="S3" s="34" t="str">
        <f>"Error Bound (up) - " &amp; IF(ISBLANK('General Info'!$B$30), "UNDEFINED","
Max. possible relative overstatement for
" &amp; 'General Info'!$B$30)</f>
        <v>Error Bound (up) - UNDEFINED</v>
      </c>
      <c r="T3" s="34" t="str">
        <f>"Error Bound (up) - " &amp; IF(ISBLANK('General Info'!$B$31), "UNDEFINED","
Max. possible relative overstatement for
" &amp; 'General Info'!$B$31)</f>
        <v>Error Bound (up) - UNDEFINED</v>
      </c>
      <c r="U3" s="34" t="str">
        <f>"Error Bound (up) - " &amp; IF(ISBLANK('General Info'!$B$32), "UNDEFINED","
Max. possible relative overstatement for
" &amp; 'General Info'!$B$32)</f>
        <v>Error Bound (up) - UNDEFINED</v>
      </c>
      <c r="V3" s="34" t="str">
        <f>"Error Bound (up) - " &amp; IF(ISBLANK('General Info'!$B$33), "UNDEFINED","
Max. possible relative overstatement for
" &amp; 'General Info'!$B$33)</f>
        <v>Error Bound (up) - UNDEFINED</v>
      </c>
      <c r="W3" s="34" t="str">
        <f>"Error Bound (up) - " &amp; IF(ISBLANK('General Info'!$B$34), "UNDEFINED","
Max. possible relative overstatement for
" &amp; 'General Info'!$B$34)</f>
        <v>Error Bound (up) - UNDEFINED</v>
      </c>
      <c r="X3" s="34" t="str">
        <f>"Error Bound (up) - " &amp; IF(ISBLANK('General Info'!$B$35), "UNDEFINED","
Max. possible relative overstatement for
" &amp; 'General Info'!$B$35)</f>
        <v>Error Bound (up) - UNDEFINED</v>
      </c>
      <c r="Y3" s="34" t="str">
        <f>"Error Bound (up) - " &amp; IF(ISBLANK('General Info'!$B$36), "UNDEFINED","
Max. possible relative overstatement for
" &amp; 'General Info'!$B$36)</f>
        <v>Error Bound (up) - UNDEFINED</v>
      </c>
      <c r="Z3" s="34" t="str">
        <f>"Error Bound (up) - " &amp; IF(ISBLANK('General Info'!$B$37), "UNDEFINED","
Max. possible relative overstatement for
" &amp; 'General Info'!$B$37)</f>
        <v>Error Bound (up) - UNDEFINED</v>
      </c>
      <c r="AA3" s="34" t="str">
        <f>"Error Bound (up) - " &amp; IF(ISBLANK('General Info'!$B$38), "UNDEFINED","
Max. possible relative overstatement for
" &amp; 'General Info'!$B$38)</f>
        <v>Error Bound (up) - UNDEFINED</v>
      </c>
      <c r="AB3" s="34" t="s">
        <v>90</v>
      </c>
      <c r="AC3" s="34" t="s">
        <v>59</v>
      </c>
      <c r="AD3" s="34" t="s">
        <v>5</v>
      </c>
      <c r="AE3" s="34" t="s">
        <v>54</v>
      </c>
      <c r="AF3" s="34" t="s">
        <v>31</v>
      </c>
      <c r="AG3" s="34" t="s">
        <v>32</v>
      </c>
      <c r="AH3" s="34" t="s">
        <v>30</v>
      </c>
      <c r="AI3" s="34" t="s">
        <v>93</v>
      </c>
      <c r="AJ3" s="34" t="s">
        <v>60</v>
      </c>
    </row>
    <row r="4" spans="1:36" s="1" customFormat="1" ht="18" customHeight="1" x14ac:dyDescent="0.35">
      <c r="A4" s="30" t="s">
        <v>95</v>
      </c>
      <c r="B4" s="30" t="s">
        <v>47</v>
      </c>
      <c r="C4" s="30" t="s">
        <v>61</v>
      </c>
      <c r="D4" s="30" t="s">
        <v>62</v>
      </c>
      <c r="E4" s="30" t="s">
        <v>63</v>
      </c>
      <c r="F4" s="30" t="s">
        <v>52</v>
      </c>
      <c r="G4" s="30" t="s">
        <v>53</v>
      </c>
      <c r="H4" s="30" t="s">
        <v>167</v>
      </c>
      <c r="I4" s="30" t="s">
        <v>166</v>
      </c>
      <c r="J4" s="30" t="s">
        <v>188</v>
      </c>
      <c r="K4" s="30" t="s">
        <v>189</v>
      </c>
      <c r="L4" s="30" t="s">
        <v>190</v>
      </c>
      <c r="M4" s="30" t="s">
        <v>191</v>
      </c>
      <c r="N4" s="30" t="s">
        <v>6</v>
      </c>
      <c r="O4" s="32" t="s">
        <v>7</v>
      </c>
      <c r="P4" s="35" t="s">
        <v>0</v>
      </c>
      <c r="Q4" s="35" t="s">
        <v>85</v>
      </c>
      <c r="R4" s="35" t="s">
        <v>86</v>
      </c>
      <c r="S4" s="35" t="s">
        <v>87</v>
      </c>
      <c r="T4" s="35" t="s">
        <v>88</v>
      </c>
      <c r="U4" s="35" t="s">
        <v>89</v>
      </c>
      <c r="V4" s="35" t="s">
        <v>173</v>
      </c>
      <c r="W4" s="35" t="s">
        <v>172</v>
      </c>
      <c r="X4" s="35" t="s">
        <v>192</v>
      </c>
      <c r="Y4" s="35" t="s">
        <v>193</v>
      </c>
      <c r="Z4" s="35" t="s">
        <v>194</v>
      </c>
      <c r="AA4" s="35" t="s">
        <v>195</v>
      </c>
      <c r="AB4" s="35" t="s">
        <v>91</v>
      </c>
      <c r="AC4" s="35" t="s">
        <v>57</v>
      </c>
      <c r="AD4" s="35" t="s">
        <v>5</v>
      </c>
      <c r="AE4" s="35" t="s">
        <v>54</v>
      </c>
      <c r="AF4" s="35" t="s">
        <v>31</v>
      </c>
      <c r="AG4" s="35" t="s">
        <v>32</v>
      </c>
      <c r="AH4" s="35" t="s">
        <v>30</v>
      </c>
      <c r="AI4" s="35" t="s">
        <v>96</v>
      </c>
      <c r="AJ4" s="35" t="s">
        <v>58</v>
      </c>
    </row>
    <row r="5" spans="1:36" ht="14.5" x14ac:dyDescent="0.35">
      <c r="A5" t="s">
        <v>216</v>
      </c>
      <c r="B5">
        <v>0</v>
      </c>
      <c r="C5">
        <v>1</v>
      </c>
      <c r="D5">
        <v>0</v>
      </c>
      <c r="N5">
        <v>0</v>
      </c>
      <c r="O5">
        <v>0</v>
      </c>
      <c r="P5" s="17">
        <f>SUM(SamplingData[[#This Row],[Winning Candidate]:[Under Votes]])</f>
        <v>1</v>
      </c>
      <c r="Q5" s="18">
        <f>IF(AND(SamplingData[[#This Row],[Total]]&lt;&gt; 0, NOT(ISBLANK(SamplingData[[#This Row],[Losing Candidate]]))),(SamplingData[[#This Row],[Total]]+SamplingData[[#This Row],[Winning Candidate]]-SamplingData[[#This Row],[Losing Candidate]])/(SamplingData[[#Totals],[Winning Candidate]]-SamplingData[[#Totals],[Losing Candidate]]), 0)</f>
        <v>0</v>
      </c>
      <c r="R5" s="18">
        <f>IF(AND(SamplingData[[#This Row],[Total]]&lt;&gt; 0, NOT(ISBLANK(SamplingData[[#This Row],[Candidate 3]]))),(SamplingData[[#This Row],[Total]]+SamplingData[[#This Row],[Winning Candidate]]-SamplingData[[#This Row],[Candidate 3]])/(SamplingData[[#Totals],[Winning Candidate]]-SamplingData[[#Totals],[Candidate 3]]), 0)</f>
        <v>5.6446150372544591E-5</v>
      </c>
      <c r="S5" s="18">
        <f>IF(AND(SamplingData[[#This Row],[Total]]&lt;&gt; 0, NOT(ISBLANK(SamplingData[[#This Row],[Candidate 4]]))),(SamplingData[[#This Row],[Total]]+SamplingData[[#This Row],[Winning Candidate]]-SamplingData[[#This Row],[Candidate 4]])/(SamplingData[[#Totals],[Winning Candidate]]-SamplingData[[#Totals],[Candidate 4]]), 0)</f>
        <v>0</v>
      </c>
      <c r="T5" s="18">
        <f>IF(AND(SamplingData[[#This Row],[Total]]&lt;&gt; 0, NOT(ISBLANK(SamplingData[[#This Row],[Candidate 5]]))),(SamplingData[[#This Row],[Total]]+SamplingData[[#This Row],[Winning Candidate]]-SamplingData[[#This Row],[Candidate 5]])/(SamplingData[[#Totals],[Winning Candidate]]-SamplingData[[#Totals],[Candidate 5]]), 0)</f>
        <v>0</v>
      </c>
      <c r="U5" s="18">
        <f>IF(AND(SamplingData[[#This Row],[Total]]&lt;&gt; 0, NOT(ISBLANK(SamplingData[[#This Row],[Candidate 6]]))),(SamplingData[[#This Row],[Total]]+SamplingData[[#This Row],[Losing Candidate]]-SamplingData[[#This Row],[Candidate 6]])/(SamplingData[[#Totals],[Winning Candidate]]-SamplingData[[#Totals],[Candidate 6]]), 0)</f>
        <v>0</v>
      </c>
      <c r="V5" s="18">
        <f>IF(AND(SamplingData[[#This Row],[Total]]&lt;&gt; 0, NOT(ISBLANK(SamplingData[[#This Row],[Candidate 7]]))),(SamplingData[[#This Row],[Total]]+SamplingData[[#This Row],[Winning Candidate]]-SamplingData[[#This Row],[Candidate 7]])/(SamplingData[[#Totals],[Winning Candidate]]-SamplingData[[#Totals],[Candidate 7]]), 0)</f>
        <v>0</v>
      </c>
      <c r="W5" s="18">
        <f>IF(AND(SamplingData[[#This Row],[Total]]&lt;&gt; 0, NOT(ISBLANK(SamplingData[[#This Row],[Candidate 8]]))),(SamplingData[[#This Row],[Total]]+SamplingData[[#This Row],[Winning Candidate]]-SamplingData[[#This Row],[Candidate 8]])/(SamplingData[[#Totals],[Winning Candidate]]-SamplingData[[#Totals],[Candidate 8]]), 0)</f>
        <v>0</v>
      </c>
      <c r="X5"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 s="18">
        <f>MAX(SamplingData[[#This Row],[Error Bound (up) - Max. possible relative overstatement - Losing Candidate]:[Error Bound (up) - Max. possible relative overstatement - Candidate 12]])</f>
        <v>5.6446150372544591E-5</v>
      </c>
      <c r="AC5" s="18">
        <f>IF(SamplingData[[#This Row],[Max Error Bound (up)]] = 0,0,SamplingData[[#This Row],[Max Error Bound (up)]]/SamplingData[[#Totals],[Max Error Bound (up)]])</f>
        <v>2.2908983441393738E-5</v>
      </c>
      <c r="AD5" s="18">
        <f>SUM($AC$5:AC5)</f>
        <v>2.2908983441393738E-5</v>
      </c>
      <c r="AE5" s="18" t="str">
        <f t="array" ref="AE5">IF(SamplingData[[#This Row],[up/U Selection Probability]] = 0, "Zero", TEXT(SamplingData[[#This Row],[Lower Range]], REPT("0",LEN('General Info'!$B$42))) &amp; " - " &amp; TEXT(SamplingData[[#This Row],[Upper Range]], REPT("0",LEN('General Info'!$B$42))))</f>
        <v>00000 - 00001</v>
      </c>
      <c r="AF5" s="18">
        <f>SamplingData[[#This Row],[Upper Range]]-SamplingData[[#This Row],[Span]]</f>
        <v>0</v>
      </c>
      <c r="AG5" s="18">
        <f>IF(ISNUMBER('General Info'!$B$42), ((SamplingData[[#This Row],[up/U Selection Probability]]) * 'General Info'!$B$44) - 1, 0)</f>
        <v>1.2908983441393738</v>
      </c>
      <c r="AH5" s="18">
        <f>IF(ISNUMBER('General Info'!$B$42), (SamplingData[[#This Row],[Running (cumulative) sum]] * ('General Info'!$B$42 -'General Info'!$B$43 + 1)) + 'General Info'!$B$43 - 1, 0)</f>
        <v>1.2908983441393738</v>
      </c>
      <c r="AI5" s="18" t="str">
        <f>IF(ISERROR(MATCH(SamplingData[[#This Row],[Batch by Type (p)]],SelectedPrecincts[Batch Name], 0)), "", INDEX(SelectedPrecincts[Draw], MATCH(SamplingData[[#This Row],[Batch by Type (p)]],SelectedPrecincts[Batch Name], 0)))</f>
        <v/>
      </c>
      <c r="AJ5" s="17">
        <f>IF(COUNTIF(SelectedPrecincts[Batch Name],SamplingData[[#This Row],[Batch by Type (p)]]) &lt;&gt; 0, COUNTIF(SelectedPrecincts[Batch Name],SamplingData[[#This Row],[Batch by Type (p)]]), 0)</f>
        <v>0</v>
      </c>
    </row>
    <row r="6" spans="1:36" ht="14.5" x14ac:dyDescent="0.35">
      <c r="A6" t="s">
        <v>217</v>
      </c>
      <c r="B6">
        <v>15</v>
      </c>
      <c r="C6">
        <v>5</v>
      </c>
      <c r="D6">
        <v>4</v>
      </c>
      <c r="N6">
        <v>0</v>
      </c>
      <c r="O6">
        <v>0</v>
      </c>
      <c r="P6" s="17">
        <f>SUM(SamplingData[[#This Row],[Winning Candidate]:[Under Votes]])</f>
        <v>24</v>
      </c>
      <c r="Q6" s="18">
        <f>IF(AND(SamplingData[[#This Row],[Total]]&lt;&gt; 0, NOT(ISBLANK(SamplingData[[#This Row],[Losing Candidate]]))),(SamplingData[[#This Row],[Total]]+SamplingData[[#This Row],[Winning Candidate]]-SamplingData[[#This Row],[Losing Candidate]])/(SamplingData[[#Totals],[Winning Candidate]]-SamplingData[[#Totals],[Losing Candidate]]), 0)</f>
        <v>2.1490424119840717E-3</v>
      </c>
      <c r="R6" s="18">
        <f>IF(AND(SamplingData[[#This Row],[Total]]&lt;&gt; 0, NOT(ISBLANK(SamplingData[[#This Row],[Candidate 3]]))),(SamplingData[[#This Row],[Total]]+SamplingData[[#This Row],[Winning Candidate]]-SamplingData[[#This Row],[Candidate 3]])/(SamplingData[[#Totals],[Winning Candidate]]-SamplingData[[#Totals],[Candidate 3]]), 0)</f>
        <v>1.9756152630390606E-3</v>
      </c>
      <c r="S6" s="18">
        <f>IF(AND(SamplingData[[#This Row],[Total]]&lt;&gt; 0, NOT(ISBLANK(SamplingData[[#This Row],[Candidate 4]]))),(SamplingData[[#This Row],[Total]]+SamplingData[[#This Row],[Winning Candidate]]-SamplingData[[#This Row],[Candidate 4]])/(SamplingData[[#Totals],[Winning Candidate]]-SamplingData[[#Totals],[Candidate 4]]), 0)</f>
        <v>0</v>
      </c>
      <c r="T6" s="18">
        <f>IF(AND(SamplingData[[#This Row],[Total]]&lt;&gt; 0, NOT(ISBLANK(SamplingData[[#This Row],[Candidate 5]]))),(SamplingData[[#This Row],[Total]]+SamplingData[[#This Row],[Winning Candidate]]-SamplingData[[#This Row],[Candidate 5]])/(SamplingData[[#Totals],[Winning Candidate]]-SamplingData[[#Totals],[Candidate 5]]), 0)</f>
        <v>0</v>
      </c>
      <c r="U6" s="18">
        <f>IF(AND(SamplingData[[#This Row],[Total]]&lt;&gt; 0, NOT(ISBLANK(SamplingData[[#This Row],[Candidate 6]]))),(SamplingData[[#This Row],[Total]]+SamplingData[[#This Row],[Losing Candidate]]-SamplingData[[#This Row],[Candidate 6]])/(SamplingData[[#Totals],[Winning Candidate]]-SamplingData[[#Totals],[Candidate 6]]), 0)</f>
        <v>0</v>
      </c>
      <c r="V6" s="18">
        <f>IF(AND(SamplingData[[#This Row],[Total]]&lt;&gt; 0, NOT(ISBLANK(SamplingData[[#This Row],[Candidate 7]]))),(SamplingData[[#This Row],[Total]]+SamplingData[[#This Row],[Winning Candidate]]-SamplingData[[#This Row],[Candidate 7]])/(SamplingData[[#Totals],[Winning Candidate]]-SamplingData[[#Totals],[Candidate 7]]), 0)</f>
        <v>0</v>
      </c>
      <c r="W6" s="18">
        <f>IF(AND(SamplingData[[#This Row],[Total]]&lt;&gt; 0, NOT(ISBLANK(SamplingData[[#This Row],[Candidate 8]]))),(SamplingData[[#This Row],[Total]]+SamplingData[[#This Row],[Winning Candidate]]-SamplingData[[#This Row],[Candidate 8]])/(SamplingData[[#Totals],[Winning Candidate]]-SamplingData[[#Totals],[Candidate 8]]), 0)</f>
        <v>0</v>
      </c>
      <c r="X6"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 s="18">
        <f>MAX(SamplingData[[#This Row],[Error Bound (up) - Max. possible relative overstatement - Losing Candidate]:[Error Bound (up) - Max. possible relative overstatement - Candidate 12]])</f>
        <v>2.1490424119840717E-3</v>
      </c>
      <c r="AC6" s="18">
        <f>IF(SamplingData[[#This Row],[Max Error Bound (up)]] = 0,0,SamplingData[[#This Row],[Max Error Bound (up)]]/SamplingData[[#Totals],[Max Error Bound (up)]])</f>
        <v>8.7220079148112441E-4</v>
      </c>
      <c r="AD6" s="18">
        <f>SUM($AC$5:AC6)</f>
        <v>8.9510977492251813E-4</v>
      </c>
      <c r="AE6" s="18" t="str">
        <f t="array" ref="AE6">IF(SamplingData[[#This Row],[up/U Selection Probability]] = 0, "Zero", TEXT(SamplingData[[#This Row],[Lower Range]], REPT("0",LEN('General Info'!$B$42))) &amp; " - " &amp; TEXT(SamplingData[[#This Row],[Upper Range]], REPT("0",LEN('General Info'!$B$42))))</f>
        <v>00002 - 00089</v>
      </c>
      <c r="AF6" s="18">
        <f>SamplingData[[#This Row],[Upper Range]]-SamplingData[[#This Row],[Span]]</f>
        <v>2.2908983441393644</v>
      </c>
      <c r="AG6" s="18">
        <f>IF(ISNUMBER('General Info'!$B$42), ((SamplingData[[#This Row],[up/U Selection Probability]]) * 'General Info'!$B$44) - 1, 0)</f>
        <v>86.220079148112447</v>
      </c>
      <c r="AH6" s="18">
        <f>IF(ISNUMBER('General Info'!$B$42), (SamplingData[[#This Row],[Running (cumulative) sum]] * ('General Info'!$B$42 -'General Info'!$B$43 + 1)) + 'General Info'!$B$43 - 1, 0)</f>
        <v>88.510977492251811</v>
      </c>
      <c r="AI6" s="18" t="str">
        <f>IF(ISERROR(MATCH(SamplingData[[#This Row],[Batch by Type (p)]],SelectedPrecincts[Batch Name], 0)), "", INDEX(SelectedPrecincts[Draw], MATCH(SamplingData[[#This Row],[Batch by Type (p)]],SelectedPrecincts[Batch Name], 0)))</f>
        <v/>
      </c>
      <c r="AJ6" s="17">
        <f>IF(COUNTIF(SelectedPrecincts[Batch Name],SamplingData[[#This Row],[Batch by Type (p)]]) &lt;&gt; 0, COUNTIF(SelectedPrecincts[Batch Name],SamplingData[[#This Row],[Batch by Type (p)]]), 0)</f>
        <v>0</v>
      </c>
    </row>
    <row r="7" spans="1:36" ht="14.5" x14ac:dyDescent="0.35">
      <c r="A7" t="s">
        <v>218</v>
      </c>
      <c r="B7">
        <v>12</v>
      </c>
      <c r="C7">
        <v>3</v>
      </c>
      <c r="D7">
        <v>2</v>
      </c>
      <c r="N7">
        <v>0</v>
      </c>
      <c r="O7">
        <v>0</v>
      </c>
      <c r="P7" s="17">
        <f>SUM(SamplingData[[#This Row],[Winning Candidate]:[Under Votes]])</f>
        <v>17</v>
      </c>
      <c r="Q7" s="18">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7" s="18">
        <f>IF(AND(SamplingData[[#This Row],[Total]]&lt;&gt; 0, NOT(ISBLANK(SamplingData[[#This Row],[Candidate 3]]))),(SamplingData[[#This Row],[Total]]+SamplingData[[#This Row],[Winning Candidate]]-SamplingData[[#This Row],[Candidate 3]])/(SamplingData[[#Totals],[Winning Candidate]]-SamplingData[[#Totals],[Candidate 3]]), 0)</f>
        <v>1.5240460600587039E-3</v>
      </c>
      <c r="S7" s="18">
        <f>IF(AND(SamplingData[[#This Row],[Total]]&lt;&gt; 0, NOT(ISBLANK(SamplingData[[#This Row],[Candidate 4]]))),(SamplingData[[#This Row],[Total]]+SamplingData[[#This Row],[Winning Candidate]]-SamplingData[[#This Row],[Candidate 4]])/(SamplingData[[#Totals],[Winning Candidate]]-SamplingData[[#Totals],[Candidate 4]]), 0)</f>
        <v>0</v>
      </c>
      <c r="T7" s="18">
        <f>IF(AND(SamplingData[[#This Row],[Total]]&lt;&gt; 0, NOT(ISBLANK(SamplingData[[#This Row],[Candidate 5]]))),(SamplingData[[#This Row],[Total]]+SamplingData[[#This Row],[Winning Candidate]]-SamplingData[[#This Row],[Candidate 5]])/(SamplingData[[#Totals],[Winning Candidate]]-SamplingData[[#Totals],[Candidate 5]]), 0)</f>
        <v>0</v>
      </c>
      <c r="U7" s="18">
        <f>IF(AND(SamplingData[[#This Row],[Total]]&lt;&gt; 0, NOT(ISBLANK(SamplingData[[#This Row],[Candidate 6]]))),(SamplingData[[#This Row],[Total]]+SamplingData[[#This Row],[Losing Candidate]]-SamplingData[[#This Row],[Candidate 6]])/(SamplingData[[#Totals],[Winning Candidate]]-SamplingData[[#Totals],[Candidate 6]]), 0)</f>
        <v>0</v>
      </c>
      <c r="V7" s="18">
        <f>IF(AND(SamplingData[[#This Row],[Total]]&lt;&gt; 0, NOT(ISBLANK(SamplingData[[#This Row],[Candidate 7]]))),(SamplingData[[#This Row],[Total]]+SamplingData[[#This Row],[Winning Candidate]]-SamplingData[[#This Row],[Candidate 7]])/(SamplingData[[#Totals],[Winning Candidate]]-SamplingData[[#Totals],[Candidate 7]]), 0)</f>
        <v>0</v>
      </c>
      <c r="W7" s="18">
        <f>IF(AND(SamplingData[[#This Row],[Total]]&lt;&gt; 0, NOT(ISBLANK(SamplingData[[#This Row],[Candidate 8]]))),(SamplingData[[#This Row],[Total]]+SamplingData[[#This Row],[Winning Candidate]]-SamplingData[[#This Row],[Candidate 8]])/(SamplingData[[#Totals],[Winning Candidate]]-SamplingData[[#Totals],[Candidate 8]]), 0)</f>
        <v>0</v>
      </c>
      <c r="X7"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 s="18">
        <f>MAX(SamplingData[[#This Row],[Error Bound (up) - Max. possible relative overstatement - Losing Candidate]:[Error Bound (up) - Max. possible relative overstatement - Candidate 12]])</f>
        <v>1.6433853738701725E-3</v>
      </c>
      <c r="AC7" s="18">
        <f>IF(SamplingData[[#This Row],[Max Error Bound (up)]] = 0,0,SamplingData[[#This Row],[Max Error Bound (up)]]/SamplingData[[#Totals],[Max Error Bound (up)]])</f>
        <v>6.6697707583850683E-4</v>
      </c>
      <c r="AD7" s="18">
        <f>SUM($AC$5:AC7)</f>
        <v>1.5620868507610249E-3</v>
      </c>
      <c r="AE7" s="18" t="str">
        <f t="array" ref="AE7">IF(SamplingData[[#This Row],[up/U Selection Probability]] = 0, "Zero", TEXT(SamplingData[[#This Row],[Lower Range]], REPT("0",LEN('General Info'!$B$42))) &amp; " - " &amp; TEXT(SamplingData[[#This Row],[Upper Range]], REPT("0",LEN('General Info'!$B$42))))</f>
        <v>00090 - 00155</v>
      </c>
      <c r="AF7" s="18">
        <f>SamplingData[[#This Row],[Upper Range]]-SamplingData[[#This Row],[Span]]</f>
        <v>89.510977492251797</v>
      </c>
      <c r="AG7" s="18">
        <f>IF(ISNUMBER('General Info'!$B$42), ((SamplingData[[#This Row],[up/U Selection Probability]]) * 'General Info'!$B$44) - 1, 0)</f>
        <v>65.697707583850686</v>
      </c>
      <c r="AH7" s="18">
        <f>IF(ISNUMBER('General Info'!$B$42), (SamplingData[[#This Row],[Running (cumulative) sum]] * ('General Info'!$B$42 -'General Info'!$B$43 + 1)) + 'General Info'!$B$43 - 1, 0)</f>
        <v>155.20868507610248</v>
      </c>
      <c r="AI7" s="18" t="str">
        <f>IF(ISERROR(MATCH(SamplingData[[#This Row],[Batch by Type (p)]],SelectedPrecincts[Batch Name], 0)), "", INDEX(SelectedPrecincts[Draw], MATCH(SamplingData[[#This Row],[Batch by Type (p)]],SelectedPrecincts[Batch Name], 0)))</f>
        <v/>
      </c>
      <c r="AJ7" s="17">
        <f>IF(COUNTIF(SelectedPrecincts[Batch Name],SamplingData[[#This Row],[Batch by Type (p)]]) &lt;&gt; 0, COUNTIF(SelectedPrecincts[Batch Name],SamplingData[[#This Row],[Batch by Type (p)]]), 0)</f>
        <v>0</v>
      </c>
    </row>
    <row r="8" spans="1:36" ht="14.5" x14ac:dyDescent="0.35">
      <c r="A8" t="s">
        <v>219</v>
      </c>
      <c r="B8">
        <v>14</v>
      </c>
      <c r="C8">
        <v>2</v>
      </c>
      <c r="D8">
        <v>0</v>
      </c>
      <c r="N8">
        <v>0</v>
      </c>
      <c r="O8">
        <v>0</v>
      </c>
      <c r="P8" s="17">
        <f>SUM(SamplingData[[#This Row],[Winning Candidate]:[Under Votes]])</f>
        <v>16</v>
      </c>
      <c r="Q8" s="18">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8" s="18">
        <f>IF(AND(SamplingData[[#This Row],[Total]]&lt;&gt; 0, NOT(ISBLANK(SamplingData[[#This Row],[Candidate 3]]))),(SamplingData[[#This Row],[Total]]+SamplingData[[#This Row],[Winning Candidate]]-SamplingData[[#This Row],[Candidate 3]])/(SamplingData[[#Totals],[Winning Candidate]]-SamplingData[[#Totals],[Candidate 3]]), 0)</f>
        <v>1.6933845111763378E-3</v>
      </c>
      <c r="S8" s="18">
        <f>IF(AND(SamplingData[[#This Row],[Total]]&lt;&gt; 0, NOT(ISBLANK(SamplingData[[#This Row],[Candidate 4]]))),(SamplingData[[#This Row],[Total]]+SamplingData[[#This Row],[Winning Candidate]]-SamplingData[[#This Row],[Candidate 4]])/(SamplingData[[#Totals],[Winning Candidate]]-SamplingData[[#Totals],[Candidate 4]]), 0)</f>
        <v>0</v>
      </c>
      <c r="T8" s="18">
        <f>IF(AND(SamplingData[[#This Row],[Total]]&lt;&gt; 0, NOT(ISBLANK(SamplingData[[#This Row],[Candidate 5]]))),(SamplingData[[#This Row],[Total]]+SamplingData[[#This Row],[Winning Candidate]]-SamplingData[[#This Row],[Candidate 5]])/(SamplingData[[#Totals],[Winning Candidate]]-SamplingData[[#Totals],[Candidate 5]]), 0)</f>
        <v>0</v>
      </c>
      <c r="U8" s="18">
        <f>IF(AND(SamplingData[[#This Row],[Total]]&lt;&gt; 0, NOT(ISBLANK(SamplingData[[#This Row],[Candidate 6]]))),(SamplingData[[#This Row],[Total]]+SamplingData[[#This Row],[Losing Candidate]]-SamplingData[[#This Row],[Candidate 6]])/(SamplingData[[#Totals],[Winning Candidate]]-SamplingData[[#Totals],[Candidate 6]]), 0)</f>
        <v>0</v>
      </c>
      <c r="V8" s="18">
        <f>IF(AND(SamplingData[[#This Row],[Total]]&lt;&gt; 0, NOT(ISBLANK(SamplingData[[#This Row],[Candidate 7]]))),(SamplingData[[#This Row],[Total]]+SamplingData[[#This Row],[Winning Candidate]]-SamplingData[[#This Row],[Candidate 7]])/(SamplingData[[#Totals],[Winning Candidate]]-SamplingData[[#Totals],[Candidate 7]]), 0)</f>
        <v>0</v>
      </c>
      <c r="W8" s="18">
        <f>IF(AND(SamplingData[[#This Row],[Total]]&lt;&gt; 0, NOT(ISBLANK(SamplingData[[#This Row],[Candidate 8]]))),(SamplingData[[#This Row],[Total]]+SamplingData[[#This Row],[Winning Candidate]]-SamplingData[[#This Row],[Candidate 8]])/(SamplingData[[#Totals],[Winning Candidate]]-SamplingData[[#Totals],[Candidate 8]]), 0)</f>
        <v>0</v>
      </c>
      <c r="X8"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 s="18">
        <f>MAX(SamplingData[[#This Row],[Error Bound (up) - Max. possible relative overstatement - Losing Candidate]:[Error Bound (up) - Max. possible relative overstatement - Candidate 12]])</f>
        <v>1.7697996333986474E-3</v>
      </c>
      <c r="AC8" s="18">
        <f>IF(SamplingData[[#This Row],[Max Error Bound (up)]] = 0,0,SamplingData[[#This Row],[Max Error Bound (up)]]/SamplingData[[#Totals],[Max Error Bound (up)]])</f>
        <v>7.1828300474916125E-4</v>
      </c>
      <c r="AD8" s="18">
        <f>SUM($AC$5:AC8)</f>
        <v>2.2803698555101861E-3</v>
      </c>
      <c r="AE8" s="18" t="str">
        <f t="array" ref="AE8">IF(SamplingData[[#This Row],[up/U Selection Probability]] = 0, "Zero", TEXT(SamplingData[[#This Row],[Lower Range]], REPT("0",LEN('General Info'!$B$42))) &amp; " - " &amp; TEXT(SamplingData[[#This Row],[Upper Range]], REPT("0",LEN('General Info'!$B$42))))</f>
        <v>00156 - 00227</v>
      </c>
      <c r="AF8" s="18">
        <f>SamplingData[[#This Row],[Upper Range]]-SamplingData[[#This Row],[Span]]</f>
        <v>156.20868507610248</v>
      </c>
      <c r="AG8" s="18">
        <f>IF(ISNUMBER('General Info'!$B$42), ((SamplingData[[#This Row],[up/U Selection Probability]]) * 'General Info'!$B$44) - 1, 0)</f>
        <v>70.828300474916119</v>
      </c>
      <c r="AH8" s="18">
        <f>IF(ISNUMBER('General Info'!$B$42), (SamplingData[[#This Row],[Running (cumulative) sum]] * ('General Info'!$B$42 -'General Info'!$B$43 + 1)) + 'General Info'!$B$43 - 1, 0)</f>
        <v>227.0369855510186</v>
      </c>
      <c r="AI8" s="18" t="str">
        <f>IF(ISERROR(MATCH(SamplingData[[#This Row],[Batch by Type (p)]],SelectedPrecincts[Batch Name], 0)), "", INDEX(SelectedPrecincts[Draw], MATCH(SamplingData[[#This Row],[Batch by Type (p)]],SelectedPrecincts[Batch Name], 0)))</f>
        <v/>
      </c>
      <c r="AJ8" s="17">
        <f>IF(COUNTIF(SelectedPrecincts[Batch Name],SamplingData[[#This Row],[Batch by Type (p)]]) &lt;&gt; 0, COUNTIF(SelectedPrecincts[Batch Name],SamplingData[[#This Row],[Batch by Type (p)]]), 0)</f>
        <v>0</v>
      </c>
    </row>
    <row r="9" spans="1:36" ht="14.5" x14ac:dyDescent="0.35">
      <c r="A9" t="s">
        <v>220</v>
      </c>
      <c r="B9">
        <v>15</v>
      </c>
      <c r="C9">
        <v>3</v>
      </c>
      <c r="D9">
        <v>0</v>
      </c>
      <c r="N9">
        <v>0</v>
      </c>
      <c r="O9">
        <v>0</v>
      </c>
      <c r="P9" s="17">
        <f>SUM(SamplingData[[#This Row],[Winning Candidate]:[Under Votes]])</f>
        <v>18</v>
      </c>
      <c r="Q9" s="18">
        <f>IF(AND(SamplingData[[#This Row],[Total]]&lt;&gt; 0, NOT(ISBLANK(SamplingData[[#This Row],[Losing Candidate]]))),(SamplingData[[#This Row],[Total]]+SamplingData[[#This Row],[Winning Candidate]]-SamplingData[[#This Row],[Losing Candidate]])/(SamplingData[[#Totals],[Winning Candidate]]-SamplingData[[#Totals],[Losing Candidate]]), 0)</f>
        <v>1.8962138929271221E-3</v>
      </c>
      <c r="R9" s="18">
        <f>IF(AND(SamplingData[[#This Row],[Total]]&lt;&gt; 0, NOT(ISBLANK(SamplingData[[#This Row],[Candidate 3]]))),(SamplingData[[#This Row],[Total]]+SamplingData[[#This Row],[Winning Candidate]]-SamplingData[[#This Row],[Candidate 3]])/(SamplingData[[#Totals],[Winning Candidate]]-SamplingData[[#Totals],[Candidate 3]]), 0)</f>
        <v>1.8627229622939715E-3</v>
      </c>
      <c r="S9" s="18">
        <f>IF(AND(SamplingData[[#This Row],[Total]]&lt;&gt; 0, NOT(ISBLANK(SamplingData[[#This Row],[Candidate 4]]))),(SamplingData[[#This Row],[Total]]+SamplingData[[#This Row],[Winning Candidate]]-SamplingData[[#This Row],[Candidate 4]])/(SamplingData[[#Totals],[Winning Candidate]]-SamplingData[[#Totals],[Candidate 4]]), 0)</f>
        <v>0</v>
      </c>
      <c r="T9" s="18">
        <f>IF(AND(SamplingData[[#This Row],[Total]]&lt;&gt; 0, NOT(ISBLANK(SamplingData[[#This Row],[Candidate 5]]))),(SamplingData[[#This Row],[Total]]+SamplingData[[#This Row],[Winning Candidate]]-SamplingData[[#This Row],[Candidate 5]])/(SamplingData[[#Totals],[Winning Candidate]]-SamplingData[[#Totals],[Candidate 5]]), 0)</f>
        <v>0</v>
      </c>
      <c r="U9" s="18">
        <f>IF(AND(SamplingData[[#This Row],[Total]]&lt;&gt; 0, NOT(ISBLANK(SamplingData[[#This Row],[Candidate 6]]))),(SamplingData[[#This Row],[Total]]+SamplingData[[#This Row],[Losing Candidate]]-SamplingData[[#This Row],[Candidate 6]])/(SamplingData[[#Totals],[Winning Candidate]]-SamplingData[[#Totals],[Candidate 6]]), 0)</f>
        <v>0</v>
      </c>
      <c r="V9" s="18">
        <f>IF(AND(SamplingData[[#This Row],[Total]]&lt;&gt; 0, NOT(ISBLANK(SamplingData[[#This Row],[Candidate 7]]))),(SamplingData[[#This Row],[Total]]+SamplingData[[#This Row],[Winning Candidate]]-SamplingData[[#This Row],[Candidate 7]])/(SamplingData[[#Totals],[Winning Candidate]]-SamplingData[[#Totals],[Candidate 7]]), 0)</f>
        <v>0</v>
      </c>
      <c r="W9" s="18">
        <f>IF(AND(SamplingData[[#This Row],[Total]]&lt;&gt; 0, NOT(ISBLANK(SamplingData[[#This Row],[Candidate 8]]))),(SamplingData[[#This Row],[Total]]+SamplingData[[#This Row],[Winning Candidate]]-SamplingData[[#This Row],[Candidate 8]])/(SamplingData[[#Totals],[Winning Candidate]]-SamplingData[[#Totals],[Candidate 8]]), 0)</f>
        <v>0</v>
      </c>
      <c r="X9"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 s="18">
        <f>MAX(SamplingData[[#This Row],[Error Bound (up) - Max. possible relative overstatement - Losing Candidate]:[Error Bound (up) - Max. possible relative overstatement - Candidate 12]])</f>
        <v>1.8962138929271221E-3</v>
      </c>
      <c r="AC9" s="18">
        <f>IF(SamplingData[[#This Row],[Max Error Bound (up)]] = 0,0,SamplingData[[#This Row],[Max Error Bound (up)]]/SamplingData[[#Totals],[Max Error Bound (up)]])</f>
        <v>7.6958893365981567E-4</v>
      </c>
      <c r="AD9" s="18">
        <f>SUM($AC$5:AC9)</f>
        <v>3.0499587891700017E-3</v>
      </c>
      <c r="AE9" s="18" t="str">
        <f t="array" ref="AE9">IF(SamplingData[[#This Row],[up/U Selection Probability]] = 0, "Zero", TEXT(SamplingData[[#This Row],[Lower Range]], REPT("0",LEN('General Info'!$B$42))) &amp; " - " &amp; TEXT(SamplingData[[#This Row],[Upper Range]], REPT("0",LEN('General Info'!$B$42))))</f>
        <v>00228 - 00304</v>
      </c>
      <c r="AF9" s="18">
        <f>SamplingData[[#This Row],[Upper Range]]-SamplingData[[#This Row],[Span]]</f>
        <v>228.03698555101857</v>
      </c>
      <c r="AG9" s="18">
        <f>IF(ISNUMBER('General Info'!$B$42), ((SamplingData[[#This Row],[up/U Selection Probability]]) * 'General Info'!$B$44) - 1, 0)</f>
        <v>75.958893365981567</v>
      </c>
      <c r="AH9" s="18">
        <f>IF(ISNUMBER('General Info'!$B$42), (SamplingData[[#This Row],[Running (cumulative) sum]] * ('General Info'!$B$42 -'General Info'!$B$43 + 1)) + 'General Info'!$B$43 - 1, 0)</f>
        <v>303.99587891700014</v>
      </c>
      <c r="AI9" s="18" t="str">
        <f>IF(ISERROR(MATCH(SamplingData[[#This Row],[Batch by Type (p)]],SelectedPrecincts[Batch Name], 0)), "", INDEX(SelectedPrecincts[Draw], MATCH(SamplingData[[#This Row],[Batch by Type (p)]],SelectedPrecincts[Batch Name], 0)))</f>
        <v/>
      </c>
      <c r="AJ9" s="17">
        <f>IF(COUNTIF(SelectedPrecincts[Batch Name],SamplingData[[#This Row],[Batch by Type (p)]]) &lt;&gt; 0, COUNTIF(SelectedPrecincts[Batch Name],SamplingData[[#This Row],[Batch by Type (p)]]), 0)</f>
        <v>0</v>
      </c>
    </row>
    <row r="10" spans="1:36" ht="14.5" x14ac:dyDescent="0.35">
      <c r="A10" t="s">
        <v>221</v>
      </c>
      <c r="B10">
        <v>13</v>
      </c>
      <c r="C10">
        <v>2</v>
      </c>
      <c r="D10">
        <v>2</v>
      </c>
      <c r="N10">
        <v>0</v>
      </c>
      <c r="O10">
        <v>0</v>
      </c>
      <c r="P10" s="17">
        <f>SUM(SamplingData[[#This Row],[Winning Candidate]:[Under Votes]])</f>
        <v>17</v>
      </c>
      <c r="Q10" s="18">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10" s="18">
        <f>IF(AND(SamplingData[[#This Row],[Total]]&lt;&gt; 0, NOT(ISBLANK(SamplingData[[#This Row],[Candidate 3]]))),(SamplingData[[#This Row],[Total]]+SamplingData[[#This Row],[Winning Candidate]]-SamplingData[[#This Row],[Candidate 3]])/(SamplingData[[#Totals],[Winning Candidate]]-SamplingData[[#Totals],[Candidate 3]]), 0)</f>
        <v>1.5804922104312486E-3</v>
      </c>
      <c r="S10" s="18">
        <f>IF(AND(SamplingData[[#This Row],[Total]]&lt;&gt; 0, NOT(ISBLANK(SamplingData[[#This Row],[Candidate 4]]))),(SamplingData[[#This Row],[Total]]+SamplingData[[#This Row],[Winning Candidate]]-SamplingData[[#This Row],[Candidate 4]])/(SamplingData[[#Totals],[Winning Candidate]]-SamplingData[[#Totals],[Candidate 4]]), 0)</f>
        <v>0</v>
      </c>
      <c r="T10" s="18">
        <f>IF(AND(SamplingData[[#This Row],[Total]]&lt;&gt; 0, NOT(ISBLANK(SamplingData[[#This Row],[Candidate 5]]))),(SamplingData[[#This Row],[Total]]+SamplingData[[#This Row],[Winning Candidate]]-SamplingData[[#This Row],[Candidate 5]])/(SamplingData[[#Totals],[Winning Candidate]]-SamplingData[[#Totals],[Candidate 5]]), 0)</f>
        <v>0</v>
      </c>
      <c r="U10" s="18">
        <f>IF(AND(SamplingData[[#This Row],[Total]]&lt;&gt; 0, NOT(ISBLANK(SamplingData[[#This Row],[Candidate 6]]))),(SamplingData[[#This Row],[Total]]+SamplingData[[#This Row],[Losing Candidate]]-SamplingData[[#This Row],[Candidate 6]])/(SamplingData[[#Totals],[Winning Candidate]]-SamplingData[[#Totals],[Candidate 6]]), 0)</f>
        <v>0</v>
      </c>
      <c r="V10" s="18">
        <f>IF(AND(SamplingData[[#This Row],[Total]]&lt;&gt; 0, NOT(ISBLANK(SamplingData[[#This Row],[Candidate 7]]))),(SamplingData[[#This Row],[Total]]+SamplingData[[#This Row],[Winning Candidate]]-SamplingData[[#This Row],[Candidate 7]])/(SamplingData[[#Totals],[Winning Candidate]]-SamplingData[[#Totals],[Candidate 7]]), 0)</f>
        <v>0</v>
      </c>
      <c r="W10" s="18">
        <f>IF(AND(SamplingData[[#This Row],[Total]]&lt;&gt; 0, NOT(ISBLANK(SamplingData[[#This Row],[Candidate 8]]))),(SamplingData[[#This Row],[Total]]+SamplingData[[#This Row],[Winning Candidate]]-SamplingData[[#This Row],[Candidate 8]])/(SamplingData[[#Totals],[Winning Candidate]]-SamplingData[[#Totals],[Candidate 8]]), 0)</f>
        <v>0</v>
      </c>
      <c r="X10"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 s="18">
        <f>MAX(SamplingData[[#This Row],[Error Bound (up) - Max. possible relative overstatement - Losing Candidate]:[Error Bound (up) - Max. possible relative overstatement - Candidate 12]])</f>
        <v>1.7697996333986474E-3</v>
      </c>
      <c r="AC10" s="18">
        <f>IF(SamplingData[[#This Row],[Max Error Bound (up)]] = 0,0,SamplingData[[#This Row],[Max Error Bound (up)]]/SamplingData[[#Totals],[Max Error Bound (up)]])</f>
        <v>7.1828300474916125E-4</v>
      </c>
      <c r="AD10" s="18">
        <f>SUM($AC$5:AC10)</f>
        <v>3.7682417939191629E-3</v>
      </c>
      <c r="AE10" s="18" t="str">
        <f t="array" ref="AE10">IF(SamplingData[[#This Row],[up/U Selection Probability]] = 0, "Zero", TEXT(SamplingData[[#This Row],[Lower Range]], REPT("0",LEN('General Info'!$B$42))) &amp; " - " &amp; TEXT(SamplingData[[#This Row],[Upper Range]], REPT("0",LEN('General Info'!$B$42))))</f>
        <v>00305 - 00376</v>
      </c>
      <c r="AF10" s="18">
        <f>SamplingData[[#This Row],[Upper Range]]-SamplingData[[#This Row],[Span]]</f>
        <v>304.99587891700014</v>
      </c>
      <c r="AG10" s="18">
        <f>IF(ISNUMBER('General Info'!$B$42), ((SamplingData[[#This Row],[up/U Selection Probability]]) * 'General Info'!$B$44) - 1, 0)</f>
        <v>70.828300474916119</v>
      </c>
      <c r="AH10" s="18">
        <f>IF(ISNUMBER('General Info'!$B$42), (SamplingData[[#This Row],[Running (cumulative) sum]] * ('General Info'!$B$42 -'General Info'!$B$43 + 1)) + 'General Info'!$B$43 - 1, 0)</f>
        <v>375.82417939191629</v>
      </c>
      <c r="AI10" s="18" t="str">
        <f>IF(ISERROR(MATCH(SamplingData[[#This Row],[Batch by Type (p)]],SelectedPrecincts[Batch Name], 0)), "", INDEX(SelectedPrecincts[Draw], MATCH(SamplingData[[#This Row],[Batch by Type (p)]],SelectedPrecincts[Batch Name], 0)))</f>
        <v/>
      </c>
      <c r="AJ10" s="17">
        <f>IF(COUNTIF(SelectedPrecincts[Batch Name],SamplingData[[#This Row],[Batch by Type (p)]]) &lt;&gt; 0, COUNTIF(SelectedPrecincts[Batch Name],SamplingData[[#This Row],[Batch by Type (p)]]), 0)</f>
        <v>0</v>
      </c>
    </row>
    <row r="11" spans="1:36" ht="14.5" x14ac:dyDescent="0.35">
      <c r="A11" t="s">
        <v>222</v>
      </c>
      <c r="B11">
        <v>9</v>
      </c>
      <c r="C11">
        <v>5</v>
      </c>
      <c r="D11">
        <v>0</v>
      </c>
      <c r="N11">
        <v>0</v>
      </c>
      <c r="O11">
        <v>0</v>
      </c>
      <c r="P11" s="17">
        <f>SUM(SamplingData[[#This Row],[Winning Candidate]:[Under Votes]])</f>
        <v>14</v>
      </c>
      <c r="Q11" s="18">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11" s="18">
        <f>IF(AND(SamplingData[[#This Row],[Total]]&lt;&gt; 0, NOT(ISBLANK(SamplingData[[#This Row],[Candidate 3]]))),(SamplingData[[#This Row],[Total]]+SamplingData[[#This Row],[Winning Candidate]]-SamplingData[[#This Row],[Candidate 3]])/(SamplingData[[#Totals],[Winning Candidate]]-SamplingData[[#Totals],[Candidate 3]]), 0)</f>
        <v>1.2982614585685256E-3</v>
      </c>
      <c r="S11" s="18">
        <f>IF(AND(SamplingData[[#This Row],[Total]]&lt;&gt; 0, NOT(ISBLANK(SamplingData[[#This Row],[Candidate 4]]))),(SamplingData[[#This Row],[Total]]+SamplingData[[#This Row],[Winning Candidate]]-SamplingData[[#This Row],[Candidate 4]])/(SamplingData[[#Totals],[Winning Candidate]]-SamplingData[[#Totals],[Candidate 4]]), 0)</f>
        <v>0</v>
      </c>
      <c r="T11" s="18">
        <f>IF(AND(SamplingData[[#This Row],[Total]]&lt;&gt; 0, NOT(ISBLANK(SamplingData[[#This Row],[Candidate 5]]))),(SamplingData[[#This Row],[Total]]+SamplingData[[#This Row],[Winning Candidate]]-SamplingData[[#This Row],[Candidate 5]])/(SamplingData[[#Totals],[Winning Candidate]]-SamplingData[[#Totals],[Candidate 5]]), 0)</f>
        <v>0</v>
      </c>
      <c r="U11" s="18">
        <f>IF(AND(SamplingData[[#This Row],[Total]]&lt;&gt; 0, NOT(ISBLANK(SamplingData[[#This Row],[Candidate 6]]))),(SamplingData[[#This Row],[Total]]+SamplingData[[#This Row],[Losing Candidate]]-SamplingData[[#This Row],[Candidate 6]])/(SamplingData[[#Totals],[Winning Candidate]]-SamplingData[[#Totals],[Candidate 6]]), 0)</f>
        <v>0</v>
      </c>
      <c r="V11" s="18">
        <f>IF(AND(SamplingData[[#This Row],[Total]]&lt;&gt; 0, NOT(ISBLANK(SamplingData[[#This Row],[Candidate 7]]))),(SamplingData[[#This Row],[Total]]+SamplingData[[#This Row],[Winning Candidate]]-SamplingData[[#This Row],[Candidate 7]])/(SamplingData[[#Totals],[Winning Candidate]]-SamplingData[[#Totals],[Candidate 7]]), 0)</f>
        <v>0</v>
      </c>
      <c r="W11" s="18">
        <f>IF(AND(SamplingData[[#This Row],[Total]]&lt;&gt; 0, NOT(ISBLANK(SamplingData[[#This Row],[Candidate 8]]))),(SamplingData[[#This Row],[Total]]+SamplingData[[#This Row],[Winning Candidate]]-SamplingData[[#This Row],[Candidate 8]])/(SamplingData[[#Totals],[Winning Candidate]]-SamplingData[[#Totals],[Candidate 8]]), 0)</f>
        <v>0</v>
      </c>
      <c r="X11"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 s="18">
        <f>MAX(SamplingData[[#This Row],[Error Bound (up) - Max. possible relative overstatement - Losing Candidate]:[Error Bound (up) - Max. possible relative overstatement - Candidate 12]])</f>
        <v>1.2982614585685256E-3</v>
      </c>
      <c r="AC11" s="18">
        <f>IF(SamplingData[[#This Row],[Max Error Bound (up)]] = 0,0,SamplingData[[#This Row],[Max Error Bound (up)]]/SamplingData[[#Totals],[Max Error Bound (up)]])</f>
        <v>5.2690661915205596E-4</v>
      </c>
      <c r="AD11" s="18">
        <f>SUM($AC$5:AC11)</f>
        <v>4.2951484130712191E-3</v>
      </c>
      <c r="AE11" s="18" t="str">
        <f t="array" ref="AE11">IF(SamplingData[[#This Row],[up/U Selection Probability]] = 0, "Zero", TEXT(SamplingData[[#This Row],[Lower Range]], REPT("0",LEN('General Info'!$B$42))) &amp; " - " &amp; TEXT(SamplingData[[#This Row],[Upper Range]], REPT("0",LEN('General Info'!$B$42))))</f>
        <v>00377 - 00429</v>
      </c>
      <c r="AF11" s="18">
        <f>SamplingData[[#This Row],[Upper Range]]-SamplingData[[#This Row],[Span]]</f>
        <v>376.82417939191635</v>
      </c>
      <c r="AG11" s="18">
        <f>IF(ISNUMBER('General Info'!$B$42), ((SamplingData[[#This Row],[up/U Selection Probability]]) * 'General Info'!$B$44) - 1, 0)</f>
        <v>51.690661915205595</v>
      </c>
      <c r="AH11" s="18">
        <f>IF(ISNUMBER('General Info'!$B$42), (SamplingData[[#This Row],[Running (cumulative) sum]] * ('General Info'!$B$42 -'General Info'!$B$43 + 1)) + 'General Info'!$B$43 - 1, 0)</f>
        <v>428.51484130712191</v>
      </c>
      <c r="AI11" s="18" t="str">
        <f>IF(ISERROR(MATCH(SamplingData[[#This Row],[Batch by Type (p)]],SelectedPrecincts[Batch Name], 0)), "", INDEX(SelectedPrecincts[Draw], MATCH(SamplingData[[#This Row],[Batch by Type (p)]],SelectedPrecincts[Batch Name], 0)))</f>
        <v/>
      </c>
      <c r="AJ11" s="17">
        <f>IF(COUNTIF(SelectedPrecincts[Batch Name],SamplingData[[#This Row],[Batch by Type (p)]]) &lt;&gt; 0, COUNTIF(SelectedPrecincts[Batch Name],SamplingData[[#This Row],[Batch by Type (p)]]), 0)</f>
        <v>0</v>
      </c>
    </row>
    <row r="12" spans="1:36" ht="14.5" x14ac:dyDescent="0.35">
      <c r="A12" t="s">
        <v>223</v>
      </c>
      <c r="B12">
        <v>10</v>
      </c>
      <c r="C12">
        <v>2</v>
      </c>
      <c r="D12">
        <v>0</v>
      </c>
      <c r="N12">
        <v>0</v>
      </c>
      <c r="O12">
        <v>0</v>
      </c>
      <c r="P12" s="17">
        <f>SUM(SamplingData[[#This Row],[Winning Candidate]:[Under Votes]])</f>
        <v>12</v>
      </c>
      <c r="Q12" s="18">
        <f>IF(AND(SamplingData[[#This Row],[Total]]&lt;&gt; 0, NOT(ISBLANK(SamplingData[[#This Row],[Losing Candidate]]))),(SamplingData[[#This Row],[Total]]+SamplingData[[#This Row],[Winning Candidate]]-SamplingData[[#This Row],[Losing Candidate]])/(SamplingData[[#Totals],[Winning Candidate]]-SamplingData[[#Totals],[Losing Candidate]]), 0)</f>
        <v>1.2641425952847481E-3</v>
      </c>
      <c r="R12" s="18">
        <f>IF(AND(SamplingData[[#This Row],[Total]]&lt;&gt; 0, NOT(ISBLANK(SamplingData[[#This Row],[Candidate 3]]))),(SamplingData[[#This Row],[Total]]+SamplingData[[#This Row],[Winning Candidate]]-SamplingData[[#This Row],[Candidate 3]])/(SamplingData[[#Totals],[Winning Candidate]]-SamplingData[[#Totals],[Candidate 3]]), 0)</f>
        <v>1.241815308195981E-3</v>
      </c>
      <c r="S12" s="18">
        <f>IF(AND(SamplingData[[#This Row],[Total]]&lt;&gt; 0, NOT(ISBLANK(SamplingData[[#This Row],[Candidate 4]]))),(SamplingData[[#This Row],[Total]]+SamplingData[[#This Row],[Winning Candidate]]-SamplingData[[#This Row],[Candidate 4]])/(SamplingData[[#Totals],[Winning Candidate]]-SamplingData[[#Totals],[Candidate 4]]), 0)</f>
        <v>0</v>
      </c>
      <c r="T12" s="18">
        <f>IF(AND(SamplingData[[#This Row],[Total]]&lt;&gt; 0, NOT(ISBLANK(SamplingData[[#This Row],[Candidate 5]]))),(SamplingData[[#This Row],[Total]]+SamplingData[[#This Row],[Winning Candidate]]-SamplingData[[#This Row],[Candidate 5]])/(SamplingData[[#Totals],[Winning Candidate]]-SamplingData[[#Totals],[Candidate 5]]), 0)</f>
        <v>0</v>
      </c>
      <c r="U12" s="18">
        <f>IF(AND(SamplingData[[#This Row],[Total]]&lt;&gt; 0, NOT(ISBLANK(SamplingData[[#This Row],[Candidate 6]]))),(SamplingData[[#This Row],[Total]]+SamplingData[[#This Row],[Losing Candidate]]-SamplingData[[#This Row],[Candidate 6]])/(SamplingData[[#Totals],[Winning Candidate]]-SamplingData[[#Totals],[Candidate 6]]), 0)</f>
        <v>0</v>
      </c>
      <c r="V12" s="18">
        <f>IF(AND(SamplingData[[#This Row],[Total]]&lt;&gt; 0, NOT(ISBLANK(SamplingData[[#This Row],[Candidate 7]]))),(SamplingData[[#This Row],[Total]]+SamplingData[[#This Row],[Winning Candidate]]-SamplingData[[#This Row],[Candidate 7]])/(SamplingData[[#Totals],[Winning Candidate]]-SamplingData[[#Totals],[Candidate 7]]), 0)</f>
        <v>0</v>
      </c>
      <c r="W12" s="18">
        <f>IF(AND(SamplingData[[#This Row],[Total]]&lt;&gt; 0, NOT(ISBLANK(SamplingData[[#This Row],[Candidate 8]]))),(SamplingData[[#This Row],[Total]]+SamplingData[[#This Row],[Winning Candidate]]-SamplingData[[#This Row],[Candidate 8]])/(SamplingData[[#Totals],[Winning Candidate]]-SamplingData[[#Totals],[Candidate 8]]), 0)</f>
        <v>0</v>
      </c>
      <c r="X12"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 s="18">
        <f>MAX(SamplingData[[#This Row],[Error Bound (up) - Max. possible relative overstatement - Losing Candidate]:[Error Bound (up) - Max. possible relative overstatement - Candidate 12]])</f>
        <v>1.2641425952847481E-3</v>
      </c>
      <c r="AC12" s="18">
        <f>IF(SamplingData[[#This Row],[Max Error Bound (up)]] = 0,0,SamplingData[[#This Row],[Max Error Bound (up)]]/SamplingData[[#Totals],[Max Error Bound (up)]])</f>
        <v>5.1305928910654378E-4</v>
      </c>
      <c r="AD12" s="18">
        <f>SUM($AC$5:AC12)</f>
        <v>4.8082077021777631E-3</v>
      </c>
      <c r="AE12" s="18" t="str">
        <f t="array" ref="AE12">IF(SamplingData[[#This Row],[up/U Selection Probability]] = 0, "Zero", TEXT(SamplingData[[#This Row],[Lower Range]], REPT("0",LEN('General Info'!$B$42))) &amp; " - " &amp; TEXT(SamplingData[[#This Row],[Upper Range]], REPT("0",LEN('General Info'!$B$42))))</f>
        <v>00430 - 00480</v>
      </c>
      <c r="AF12" s="18">
        <f>SamplingData[[#This Row],[Upper Range]]-SamplingData[[#This Row],[Span]]</f>
        <v>429.51484130712197</v>
      </c>
      <c r="AG12" s="18">
        <f>IF(ISNUMBER('General Info'!$B$42), ((SamplingData[[#This Row],[up/U Selection Probability]]) * 'General Info'!$B$44) - 1, 0)</f>
        <v>50.30592891065438</v>
      </c>
      <c r="AH12" s="18">
        <f>IF(ISNUMBER('General Info'!$B$42), (SamplingData[[#This Row],[Running (cumulative) sum]] * ('General Info'!$B$42 -'General Info'!$B$43 + 1)) + 'General Info'!$B$43 - 1, 0)</f>
        <v>479.82077021777633</v>
      </c>
      <c r="AI12" s="18" t="str">
        <f>IF(ISERROR(MATCH(SamplingData[[#This Row],[Batch by Type (p)]],SelectedPrecincts[Batch Name], 0)), "", INDEX(SelectedPrecincts[Draw], MATCH(SamplingData[[#This Row],[Batch by Type (p)]],SelectedPrecincts[Batch Name], 0)))</f>
        <v/>
      </c>
      <c r="AJ12" s="17">
        <f>IF(COUNTIF(SelectedPrecincts[Batch Name],SamplingData[[#This Row],[Batch by Type (p)]]) &lt;&gt; 0, COUNTIF(SelectedPrecincts[Batch Name],SamplingData[[#This Row],[Batch by Type (p)]]), 0)</f>
        <v>0</v>
      </c>
    </row>
    <row r="13" spans="1:36" ht="14.5" x14ac:dyDescent="0.35">
      <c r="A13" t="s">
        <v>224</v>
      </c>
      <c r="B13">
        <v>18</v>
      </c>
      <c r="C13">
        <v>4</v>
      </c>
      <c r="D13">
        <v>0</v>
      </c>
      <c r="N13">
        <v>0</v>
      </c>
      <c r="O13">
        <v>0</v>
      </c>
      <c r="P13" s="17">
        <f>SUM(SamplingData[[#This Row],[Winning Candidate]:[Under Votes]])</f>
        <v>22</v>
      </c>
      <c r="Q13" s="18">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13" s="18">
        <f>IF(AND(SamplingData[[#This Row],[Total]]&lt;&gt; 0, NOT(ISBLANK(SamplingData[[#This Row],[Candidate 3]]))),(SamplingData[[#This Row],[Total]]+SamplingData[[#This Row],[Winning Candidate]]-SamplingData[[#This Row],[Candidate 3]])/(SamplingData[[#Totals],[Winning Candidate]]-SamplingData[[#Totals],[Candidate 3]]), 0)</f>
        <v>2.2578460149017838E-3</v>
      </c>
      <c r="S13" s="18">
        <f>IF(AND(SamplingData[[#This Row],[Total]]&lt;&gt; 0, NOT(ISBLANK(SamplingData[[#This Row],[Candidate 4]]))),(SamplingData[[#This Row],[Total]]+SamplingData[[#This Row],[Winning Candidate]]-SamplingData[[#This Row],[Candidate 4]])/(SamplingData[[#Totals],[Winning Candidate]]-SamplingData[[#Totals],[Candidate 4]]), 0)</f>
        <v>0</v>
      </c>
      <c r="T13" s="18">
        <f>IF(AND(SamplingData[[#This Row],[Total]]&lt;&gt; 0, NOT(ISBLANK(SamplingData[[#This Row],[Candidate 5]]))),(SamplingData[[#This Row],[Total]]+SamplingData[[#This Row],[Winning Candidate]]-SamplingData[[#This Row],[Candidate 5]])/(SamplingData[[#Totals],[Winning Candidate]]-SamplingData[[#Totals],[Candidate 5]]), 0)</f>
        <v>0</v>
      </c>
      <c r="U13" s="18">
        <f>IF(AND(SamplingData[[#This Row],[Total]]&lt;&gt; 0, NOT(ISBLANK(SamplingData[[#This Row],[Candidate 6]]))),(SamplingData[[#This Row],[Total]]+SamplingData[[#This Row],[Losing Candidate]]-SamplingData[[#This Row],[Candidate 6]])/(SamplingData[[#Totals],[Winning Candidate]]-SamplingData[[#Totals],[Candidate 6]]), 0)</f>
        <v>0</v>
      </c>
      <c r="V13" s="18">
        <f>IF(AND(SamplingData[[#This Row],[Total]]&lt;&gt; 0, NOT(ISBLANK(SamplingData[[#This Row],[Candidate 7]]))),(SamplingData[[#This Row],[Total]]+SamplingData[[#This Row],[Winning Candidate]]-SamplingData[[#This Row],[Candidate 7]])/(SamplingData[[#Totals],[Winning Candidate]]-SamplingData[[#Totals],[Candidate 7]]), 0)</f>
        <v>0</v>
      </c>
      <c r="W13" s="18">
        <f>IF(AND(SamplingData[[#This Row],[Total]]&lt;&gt; 0, NOT(ISBLANK(SamplingData[[#This Row],[Candidate 8]]))),(SamplingData[[#This Row],[Total]]+SamplingData[[#This Row],[Winning Candidate]]-SamplingData[[#This Row],[Candidate 8]])/(SamplingData[[#Totals],[Winning Candidate]]-SamplingData[[#Totals],[Candidate 8]]), 0)</f>
        <v>0</v>
      </c>
      <c r="X13"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 s="18">
        <f>MAX(SamplingData[[#This Row],[Error Bound (up) - Max. possible relative overstatement - Losing Candidate]:[Error Bound (up) - Max. possible relative overstatement - Candidate 12]])</f>
        <v>2.2754566715125464E-3</v>
      </c>
      <c r="AC13" s="18">
        <f>IF(SamplingData[[#This Row],[Max Error Bound (up)]] = 0,0,SamplingData[[#This Row],[Max Error Bound (up)]]/SamplingData[[#Totals],[Max Error Bound (up)]])</f>
        <v>9.2350672039177872E-4</v>
      </c>
      <c r="AD13" s="18">
        <f>SUM($AC$5:AC13)</f>
        <v>5.7317144225695416E-3</v>
      </c>
      <c r="AE13" s="18" t="str">
        <f t="array" ref="AE13">IF(SamplingData[[#This Row],[up/U Selection Probability]] = 0, "Zero", TEXT(SamplingData[[#This Row],[Lower Range]], REPT("0",LEN('General Info'!$B$42))) &amp; " - " &amp; TEXT(SamplingData[[#This Row],[Upper Range]], REPT("0",LEN('General Info'!$B$42))))</f>
        <v>00481 - 00572</v>
      </c>
      <c r="AF13" s="18">
        <f>SamplingData[[#This Row],[Upper Range]]-SamplingData[[#This Row],[Span]]</f>
        <v>480.82077021777627</v>
      </c>
      <c r="AG13" s="18">
        <f>IF(ISNUMBER('General Info'!$B$42), ((SamplingData[[#This Row],[up/U Selection Probability]]) * 'General Info'!$B$44) - 1, 0)</f>
        <v>91.350672039177866</v>
      </c>
      <c r="AH13" s="18">
        <f>IF(ISNUMBER('General Info'!$B$42), (SamplingData[[#This Row],[Running (cumulative) sum]] * ('General Info'!$B$42 -'General Info'!$B$43 + 1)) + 'General Info'!$B$43 - 1, 0)</f>
        <v>572.17144225695415</v>
      </c>
      <c r="AI13" s="18" t="str">
        <f>IF(ISERROR(MATCH(SamplingData[[#This Row],[Batch by Type (p)]],SelectedPrecincts[Batch Name], 0)), "", INDEX(SelectedPrecincts[Draw], MATCH(SamplingData[[#This Row],[Batch by Type (p)]],SelectedPrecincts[Batch Name], 0)))</f>
        <v/>
      </c>
      <c r="AJ13" s="17">
        <f>IF(COUNTIF(SelectedPrecincts[Batch Name],SamplingData[[#This Row],[Batch by Type (p)]]) &lt;&gt; 0, COUNTIF(SelectedPrecincts[Batch Name],SamplingData[[#This Row],[Batch by Type (p)]]), 0)</f>
        <v>0</v>
      </c>
    </row>
    <row r="14" spans="1:36" ht="14.5" x14ac:dyDescent="0.35">
      <c r="A14" t="s">
        <v>225</v>
      </c>
      <c r="B14">
        <v>13</v>
      </c>
      <c r="C14">
        <v>3</v>
      </c>
      <c r="D14">
        <v>1</v>
      </c>
      <c r="N14">
        <v>0</v>
      </c>
      <c r="O14">
        <v>0</v>
      </c>
      <c r="P14" s="17">
        <f>SUM(SamplingData[[#This Row],[Winning Candidate]:[Under Votes]])</f>
        <v>17</v>
      </c>
      <c r="Q14" s="18">
        <f>IF(AND(SamplingData[[#This Row],[Total]]&lt;&gt; 0, NOT(ISBLANK(SamplingData[[#This Row],[Losing Candidate]]))),(SamplingData[[#This Row],[Total]]+SamplingData[[#This Row],[Winning Candidate]]-SamplingData[[#This Row],[Losing Candidate]])/(SamplingData[[#Totals],[Winning Candidate]]-SamplingData[[#Totals],[Losing Candidate]]), 0)</f>
        <v>1.70659250363441E-3</v>
      </c>
      <c r="R14" s="18">
        <f>IF(AND(SamplingData[[#This Row],[Total]]&lt;&gt; 0, NOT(ISBLANK(SamplingData[[#This Row],[Candidate 3]]))),(SamplingData[[#This Row],[Total]]+SamplingData[[#This Row],[Winning Candidate]]-SamplingData[[#This Row],[Candidate 3]])/(SamplingData[[#Totals],[Winning Candidate]]-SamplingData[[#Totals],[Candidate 3]]), 0)</f>
        <v>1.6369383608037932E-3</v>
      </c>
      <c r="S14" s="18">
        <f>IF(AND(SamplingData[[#This Row],[Total]]&lt;&gt; 0, NOT(ISBLANK(SamplingData[[#This Row],[Candidate 4]]))),(SamplingData[[#This Row],[Total]]+SamplingData[[#This Row],[Winning Candidate]]-SamplingData[[#This Row],[Candidate 4]])/(SamplingData[[#Totals],[Winning Candidate]]-SamplingData[[#Totals],[Candidate 4]]), 0)</f>
        <v>0</v>
      </c>
      <c r="T14" s="18">
        <f>IF(AND(SamplingData[[#This Row],[Total]]&lt;&gt; 0, NOT(ISBLANK(SamplingData[[#This Row],[Candidate 5]]))),(SamplingData[[#This Row],[Total]]+SamplingData[[#This Row],[Winning Candidate]]-SamplingData[[#This Row],[Candidate 5]])/(SamplingData[[#Totals],[Winning Candidate]]-SamplingData[[#Totals],[Candidate 5]]), 0)</f>
        <v>0</v>
      </c>
      <c r="U14" s="18">
        <f>IF(AND(SamplingData[[#This Row],[Total]]&lt;&gt; 0, NOT(ISBLANK(SamplingData[[#This Row],[Candidate 6]]))),(SamplingData[[#This Row],[Total]]+SamplingData[[#This Row],[Losing Candidate]]-SamplingData[[#This Row],[Candidate 6]])/(SamplingData[[#Totals],[Winning Candidate]]-SamplingData[[#Totals],[Candidate 6]]), 0)</f>
        <v>0</v>
      </c>
      <c r="V14" s="18">
        <f>IF(AND(SamplingData[[#This Row],[Total]]&lt;&gt; 0, NOT(ISBLANK(SamplingData[[#This Row],[Candidate 7]]))),(SamplingData[[#This Row],[Total]]+SamplingData[[#This Row],[Winning Candidate]]-SamplingData[[#This Row],[Candidate 7]])/(SamplingData[[#Totals],[Winning Candidate]]-SamplingData[[#Totals],[Candidate 7]]), 0)</f>
        <v>0</v>
      </c>
      <c r="W14" s="18">
        <f>IF(AND(SamplingData[[#This Row],[Total]]&lt;&gt; 0, NOT(ISBLANK(SamplingData[[#This Row],[Candidate 8]]))),(SamplingData[[#This Row],[Total]]+SamplingData[[#This Row],[Winning Candidate]]-SamplingData[[#This Row],[Candidate 8]])/(SamplingData[[#Totals],[Winning Candidate]]-SamplingData[[#Totals],[Candidate 8]]), 0)</f>
        <v>0</v>
      </c>
      <c r="X14"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 s="18">
        <f>MAX(SamplingData[[#This Row],[Error Bound (up) - Max. possible relative overstatement - Losing Candidate]:[Error Bound (up) - Max. possible relative overstatement - Candidate 12]])</f>
        <v>1.70659250363441E-3</v>
      </c>
      <c r="AC14" s="18">
        <f>IF(SamplingData[[#This Row],[Max Error Bound (up)]] = 0,0,SamplingData[[#This Row],[Max Error Bound (up)]]/SamplingData[[#Totals],[Max Error Bound (up)]])</f>
        <v>6.9263004029383409E-4</v>
      </c>
      <c r="AD14" s="18">
        <f>SUM($AC$5:AC14)</f>
        <v>6.4243444628633755E-3</v>
      </c>
      <c r="AE14" s="18" t="str">
        <f t="array" ref="AE14">IF(SamplingData[[#This Row],[up/U Selection Probability]] = 0, "Zero", TEXT(SamplingData[[#This Row],[Lower Range]], REPT("0",LEN('General Info'!$B$42))) &amp; " - " &amp; TEXT(SamplingData[[#This Row],[Upper Range]], REPT("0",LEN('General Info'!$B$42))))</f>
        <v>00573 - 00641</v>
      </c>
      <c r="AF14" s="18">
        <f>SamplingData[[#This Row],[Upper Range]]-SamplingData[[#This Row],[Span]]</f>
        <v>573.17144225695415</v>
      </c>
      <c r="AG14" s="18">
        <f>IF(ISNUMBER('General Info'!$B$42), ((SamplingData[[#This Row],[up/U Selection Probability]]) * 'General Info'!$B$44) - 1, 0)</f>
        <v>68.26300402938341</v>
      </c>
      <c r="AH14" s="18">
        <f>IF(ISNUMBER('General Info'!$B$42), (SamplingData[[#This Row],[Running (cumulative) sum]] * ('General Info'!$B$42 -'General Info'!$B$43 + 1)) + 'General Info'!$B$43 - 1, 0)</f>
        <v>641.43444628633756</v>
      </c>
      <c r="AI14" s="18" t="str">
        <f>IF(ISERROR(MATCH(SamplingData[[#This Row],[Batch by Type (p)]],SelectedPrecincts[Batch Name], 0)), "", INDEX(SelectedPrecincts[Draw], MATCH(SamplingData[[#This Row],[Batch by Type (p)]],SelectedPrecincts[Batch Name], 0)))</f>
        <v/>
      </c>
      <c r="AJ14" s="17">
        <f>IF(COUNTIF(SelectedPrecincts[Batch Name],SamplingData[[#This Row],[Batch by Type (p)]]) &lt;&gt; 0, COUNTIF(SelectedPrecincts[Batch Name],SamplingData[[#This Row],[Batch by Type (p)]]), 0)</f>
        <v>0</v>
      </c>
    </row>
    <row r="15" spans="1:36" s="87" customFormat="1" ht="15" customHeight="1" x14ac:dyDescent="0.35">
      <c r="A15" s="98" t="s">
        <v>226</v>
      </c>
      <c r="B15" s="98">
        <v>15</v>
      </c>
      <c r="C15" s="98">
        <v>0</v>
      </c>
      <c r="D15" s="93">
        <v>2</v>
      </c>
      <c r="E15" s="93"/>
      <c r="F15" s="93"/>
      <c r="G15" s="97"/>
      <c r="H15" s="97"/>
      <c r="I15" s="93"/>
      <c r="J15" s="93"/>
      <c r="K15" s="93"/>
      <c r="L15" s="93"/>
      <c r="M15" s="93"/>
      <c r="N15" s="98">
        <v>0</v>
      </c>
      <c r="O15" s="98">
        <v>0</v>
      </c>
      <c r="P15" s="94">
        <f>SUM(SamplingData[[#This Row],[Winning Candidate]:[Under Votes]])</f>
        <v>17</v>
      </c>
      <c r="Q15" s="95">
        <f>IF(AND(SamplingData[[#This Row],[Total]]&lt;&gt; 0, NOT(ISBLANK(SamplingData[[#This Row],[Losing Candidate]]))),(SamplingData[[#This Row],[Total]]+SamplingData[[#This Row],[Winning Candidate]]-SamplingData[[#This Row],[Losing Candidate]])/(SamplingData[[#Totals],[Winning Candidate]]-SamplingData[[#Totals],[Losing Candidate]]), 0)</f>
        <v>2.022628152455597E-3</v>
      </c>
      <c r="R15" s="95">
        <f>IF(AND(SamplingData[[#This Row],[Total]]&lt;&gt; 0, NOT(ISBLANK(SamplingData[[#This Row],[Candidate 3]]))),(SamplingData[[#This Row],[Total]]+SamplingData[[#This Row],[Winning Candidate]]-SamplingData[[#This Row],[Candidate 3]])/(SamplingData[[#Totals],[Winning Candidate]]-SamplingData[[#Totals],[Candidate 3]]), 0)</f>
        <v>1.6933845111763378E-3</v>
      </c>
      <c r="S15" s="95">
        <f>IF(AND(SamplingData[[#This Row],[Total]]&lt;&gt; 0, NOT(ISBLANK(SamplingData[[#This Row],[Candidate 4]]))),(SamplingData[[#This Row],[Total]]+SamplingData[[#This Row],[Winning Candidate]]-SamplingData[[#This Row],[Candidate 4]])/(SamplingData[[#Totals],[Winning Candidate]]-SamplingData[[#Totals],[Candidate 4]]), 0)</f>
        <v>0</v>
      </c>
      <c r="T15" s="95">
        <f>IF(AND(SamplingData[[#This Row],[Total]]&lt;&gt; 0, NOT(ISBLANK(SamplingData[[#This Row],[Candidate 5]]))),(SamplingData[[#This Row],[Total]]+SamplingData[[#This Row],[Winning Candidate]]-SamplingData[[#This Row],[Candidate 5]])/(SamplingData[[#Totals],[Winning Candidate]]-SamplingData[[#Totals],[Candidate 5]]), 0)</f>
        <v>0</v>
      </c>
      <c r="U15" s="95">
        <f>IF(AND(SamplingData[[#This Row],[Total]]&lt;&gt; 0, NOT(ISBLANK(SamplingData[[#This Row],[Candidate 6]]))),(SamplingData[[#This Row],[Total]]+SamplingData[[#This Row],[Losing Candidate]]-SamplingData[[#This Row],[Candidate 6]])/(SamplingData[[#Totals],[Winning Candidate]]-SamplingData[[#Totals],[Candidate 6]]), 0)</f>
        <v>0</v>
      </c>
      <c r="V15" s="95">
        <f>IF(AND(SamplingData[[#This Row],[Total]]&lt;&gt; 0, NOT(ISBLANK(SamplingData[[#This Row],[Candidate 7]]))),(SamplingData[[#This Row],[Total]]+SamplingData[[#This Row],[Winning Candidate]]-SamplingData[[#This Row],[Candidate 7]])/(SamplingData[[#Totals],[Winning Candidate]]-SamplingData[[#Totals],[Candidate 7]]), 0)</f>
        <v>0</v>
      </c>
      <c r="W15" s="95">
        <f>IF(AND(SamplingData[[#This Row],[Total]]&lt;&gt; 0, NOT(ISBLANK(SamplingData[[#This Row],[Candidate 8]]))),(SamplingData[[#This Row],[Total]]+SamplingData[[#This Row],[Winning Candidate]]-SamplingData[[#This Row],[Candidate 8]])/(SamplingData[[#Totals],[Winning Candidate]]-SamplingData[[#Totals],[Candidate 8]]), 0)</f>
        <v>0</v>
      </c>
      <c r="X1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 s="95">
        <f>MAX(SamplingData[[#This Row],[Error Bound (up) - Max. possible relative overstatement - Losing Candidate]:[Error Bound (up) - Max. possible relative overstatement - Candidate 12]])</f>
        <v>2.022628152455597E-3</v>
      </c>
      <c r="AC15" s="95">
        <f>IF(SamplingData[[#This Row],[Max Error Bound (up)]] = 0,0,SamplingData[[#This Row],[Max Error Bound (up)]]/SamplingData[[#Totals],[Max Error Bound (up)]])</f>
        <v>8.2089486257047009E-4</v>
      </c>
      <c r="AD15" s="18">
        <f>SUM($AC$5:AC15)</f>
        <v>7.2452393254338453E-3</v>
      </c>
      <c r="AE15" s="95" t="str">
        <f t="array" ref="AE15">IF(SamplingData[[#This Row],[up/U Selection Probability]] = 0, "Zero", TEXT(SamplingData[[#This Row],[Lower Range]], REPT("0",LEN('General Info'!$B$42))) &amp; " - " &amp; TEXT(SamplingData[[#This Row],[Upper Range]], REPT("0",LEN('General Info'!$B$42))))</f>
        <v>00642 - 00724</v>
      </c>
      <c r="AF15" s="95">
        <f>SamplingData[[#This Row],[Upper Range]]-SamplingData[[#This Row],[Span]]</f>
        <v>642.43444628633745</v>
      </c>
      <c r="AG15" s="95">
        <f>IF(ISNUMBER('General Info'!$B$42), ((SamplingData[[#This Row],[up/U Selection Probability]]) * 'General Info'!$B$44) - 1, 0)</f>
        <v>81.089486257047014</v>
      </c>
      <c r="AH15" s="95">
        <f>IF(ISNUMBER('General Info'!$B$42), (SamplingData[[#This Row],[Running (cumulative) sum]] * ('General Info'!$B$42 -'General Info'!$B$43 + 1)) + 'General Info'!$B$43 - 1, 0)</f>
        <v>723.52393254338449</v>
      </c>
      <c r="AI15" s="95" t="str">
        <f>IF(ISERROR(MATCH(SamplingData[[#This Row],[Batch by Type (p)]],SelectedPrecincts[Batch Name], 0)), "", INDEX(SelectedPrecincts[Draw], MATCH(SamplingData[[#This Row],[Batch by Type (p)]],SelectedPrecincts[Batch Name], 0)))</f>
        <v/>
      </c>
      <c r="AJ15" s="96">
        <f>IF(COUNTIF(SelectedPrecincts[Batch Name],SamplingData[[#This Row],[Batch by Type (p)]]) &lt;&gt; 0, COUNTIF(SelectedPrecincts[Batch Name],SamplingData[[#This Row],[Batch by Type (p)]]), 0)</f>
        <v>0</v>
      </c>
    </row>
    <row r="16" spans="1:36" ht="15" customHeight="1" x14ac:dyDescent="0.35">
      <c r="A16" s="98" t="s">
        <v>227</v>
      </c>
      <c r="B16" s="98">
        <v>7</v>
      </c>
      <c r="C16" s="98">
        <v>1</v>
      </c>
      <c r="D16" s="93">
        <v>1</v>
      </c>
      <c r="E16" s="93"/>
      <c r="F16" s="93"/>
      <c r="G16" s="97"/>
      <c r="H16" s="97"/>
      <c r="I16" s="93"/>
      <c r="J16" s="93"/>
      <c r="K16" s="93"/>
      <c r="L16" s="93"/>
      <c r="M16" s="93"/>
      <c r="N16" s="98">
        <v>0</v>
      </c>
      <c r="O16" s="98">
        <v>1</v>
      </c>
      <c r="P16" s="94">
        <f>SUM(SamplingData[[#This Row],[Winning Candidate]:[Under Votes]])</f>
        <v>10</v>
      </c>
      <c r="Q16" s="95">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16" s="95">
        <f>IF(AND(SamplingData[[#This Row],[Total]]&lt;&gt; 0, NOT(ISBLANK(SamplingData[[#This Row],[Candidate 3]]))),(SamplingData[[#This Row],[Total]]+SamplingData[[#This Row],[Winning Candidate]]-SamplingData[[#This Row],[Candidate 3]])/(SamplingData[[#Totals],[Winning Candidate]]-SamplingData[[#Totals],[Candidate 3]]), 0)</f>
        <v>9.0313840596071345E-4</v>
      </c>
      <c r="S16" s="95">
        <f>IF(AND(SamplingData[[#This Row],[Total]]&lt;&gt; 0, NOT(ISBLANK(SamplingData[[#This Row],[Candidate 4]]))),(SamplingData[[#This Row],[Total]]+SamplingData[[#This Row],[Winning Candidate]]-SamplingData[[#This Row],[Candidate 4]])/(SamplingData[[#Totals],[Winning Candidate]]-SamplingData[[#Totals],[Candidate 4]]), 0)</f>
        <v>0</v>
      </c>
      <c r="T16" s="95">
        <f>IF(AND(SamplingData[[#This Row],[Total]]&lt;&gt; 0, NOT(ISBLANK(SamplingData[[#This Row],[Candidate 5]]))),(SamplingData[[#This Row],[Total]]+SamplingData[[#This Row],[Winning Candidate]]-SamplingData[[#This Row],[Candidate 5]])/(SamplingData[[#Totals],[Winning Candidate]]-SamplingData[[#Totals],[Candidate 5]]), 0)</f>
        <v>0</v>
      </c>
      <c r="U16" s="95">
        <f>IF(AND(SamplingData[[#This Row],[Total]]&lt;&gt; 0, NOT(ISBLANK(SamplingData[[#This Row],[Candidate 6]]))),(SamplingData[[#This Row],[Total]]+SamplingData[[#This Row],[Losing Candidate]]-SamplingData[[#This Row],[Candidate 6]])/(SamplingData[[#Totals],[Winning Candidate]]-SamplingData[[#Totals],[Candidate 6]]), 0)</f>
        <v>0</v>
      </c>
      <c r="V16" s="95">
        <f>IF(AND(SamplingData[[#This Row],[Total]]&lt;&gt; 0, NOT(ISBLANK(SamplingData[[#This Row],[Candidate 7]]))),(SamplingData[[#This Row],[Total]]+SamplingData[[#This Row],[Winning Candidate]]-SamplingData[[#This Row],[Candidate 7]])/(SamplingData[[#Totals],[Winning Candidate]]-SamplingData[[#Totals],[Candidate 7]]), 0)</f>
        <v>0</v>
      </c>
      <c r="W16" s="95">
        <f>IF(AND(SamplingData[[#This Row],[Total]]&lt;&gt; 0, NOT(ISBLANK(SamplingData[[#This Row],[Candidate 8]]))),(SamplingData[[#This Row],[Total]]+SamplingData[[#This Row],[Winning Candidate]]-SamplingData[[#This Row],[Candidate 8]])/(SamplingData[[#Totals],[Winning Candidate]]-SamplingData[[#Totals],[Candidate 8]]), 0)</f>
        <v>0</v>
      </c>
      <c r="X1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 s="95">
        <f>MAX(SamplingData[[#This Row],[Error Bound (up) - Max. possible relative overstatement - Losing Candidate]:[Error Bound (up) - Max. possible relative overstatement - Candidate 12]])</f>
        <v>1.0113140762277985E-3</v>
      </c>
      <c r="AC16" s="95">
        <f>IF(SamplingData[[#This Row],[Max Error Bound (up)]] = 0,0,SamplingData[[#This Row],[Max Error Bound (up)]]/SamplingData[[#Totals],[Max Error Bound (up)]])</f>
        <v>4.1044743128523505E-4</v>
      </c>
      <c r="AD16" s="18">
        <f>SUM($AC$5:AC16)</f>
        <v>7.6556867567190807E-3</v>
      </c>
      <c r="AE16" s="95" t="str">
        <f t="array" ref="AE16">IF(SamplingData[[#This Row],[up/U Selection Probability]] = 0, "Zero", TEXT(SamplingData[[#This Row],[Lower Range]], REPT("0",LEN('General Info'!$B$42))) &amp; " - " &amp; TEXT(SamplingData[[#This Row],[Upper Range]], REPT("0",LEN('General Info'!$B$42))))</f>
        <v>00725 - 00765</v>
      </c>
      <c r="AF16" s="95">
        <f>SamplingData[[#This Row],[Upper Range]]-SamplingData[[#This Row],[Span]]</f>
        <v>724.5239325433846</v>
      </c>
      <c r="AG16" s="95">
        <f>IF(ISNUMBER('General Info'!$B$42), ((SamplingData[[#This Row],[up/U Selection Probability]]) * 'General Info'!$B$44) - 1, 0)</f>
        <v>40.044743128523507</v>
      </c>
      <c r="AH16" s="95">
        <f>IF(ISNUMBER('General Info'!$B$42), (SamplingData[[#This Row],[Running (cumulative) sum]] * ('General Info'!$B$42 -'General Info'!$B$43 + 1)) + 'General Info'!$B$43 - 1, 0)</f>
        <v>764.56867567190807</v>
      </c>
      <c r="AI16" s="95" t="str">
        <f>IF(ISERROR(MATCH(SamplingData[[#This Row],[Batch by Type (p)]],SelectedPrecincts[Batch Name], 0)), "", INDEX(SelectedPrecincts[Draw], MATCH(SamplingData[[#This Row],[Batch by Type (p)]],SelectedPrecincts[Batch Name], 0)))</f>
        <v/>
      </c>
      <c r="AJ16" s="96">
        <f>IF(COUNTIF(SelectedPrecincts[Batch Name],SamplingData[[#This Row],[Batch by Type (p)]]) &lt;&gt; 0, COUNTIF(SelectedPrecincts[Batch Name],SamplingData[[#This Row],[Batch by Type (p)]]), 0)</f>
        <v>0</v>
      </c>
    </row>
    <row r="17" spans="1:36" ht="15" customHeight="1" x14ac:dyDescent="0.35">
      <c r="A17" s="98" t="s">
        <v>228</v>
      </c>
      <c r="B17" s="98">
        <v>23</v>
      </c>
      <c r="C17" s="98">
        <v>7</v>
      </c>
      <c r="D17" s="93">
        <v>4</v>
      </c>
      <c r="E17" s="93"/>
      <c r="F17" s="93"/>
      <c r="G17" s="97"/>
      <c r="H17" s="97"/>
      <c r="I17" s="93"/>
      <c r="J17" s="93"/>
      <c r="K17" s="93"/>
      <c r="L17" s="93"/>
      <c r="M17" s="93"/>
      <c r="N17" s="98">
        <v>0</v>
      </c>
      <c r="O17" s="98">
        <v>0</v>
      </c>
      <c r="P17" s="94">
        <f>SUM(SamplingData[[#This Row],[Winning Candidate]:[Under Votes]])</f>
        <v>34</v>
      </c>
      <c r="Q17" s="95">
        <f>IF(AND(SamplingData[[#This Row],[Total]]&lt;&gt; 0, NOT(ISBLANK(SamplingData[[#This Row],[Losing Candidate]]))),(SamplingData[[#This Row],[Total]]+SamplingData[[#This Row],[Winning Candidate]]-SamplingData[[#This Row],[Losing Candidate]])/(SamplingData[[#Totals],[Winning Candidate]]-SamplingData[[#Totals],[Losing Candidate]]), 0)</f>
        <v>3.1603564882118703E-3</v>
      </c>
      <c r="R17" s="95">
        <f>IF(AND(SamplingData[[#This Row],[Total]]&lt;&gt; 0, NOT(ISBLANK(SamplingData[[#This Row],[Candidate 3]]))),(SamplingData[[#This Row],[Total]]+SamplingData[[#This Row],[Winning Candidate]]-SamplingData[[#This Row],[Candidate 3]])/(SamplingData[[#Totals],[Winning Candidate]]-SamplingData[[#Totals],[Candidate 3]]), 0)</f>
        <v>2.9916459697448632E-3</v>
      </c>
      <c r="S17" s="95">
        <f>IF(AND(SamplingData[[#This Row],[Total]]&lt;&gt; 0, NOT(ISBLANK(SamplingData[[#This Row],[Candidate 4]]))),(SamplingData[[#This Row],[Total]]+SamplingData[[#This Row],[Winning Candidate]]-SamplingData[[#This Row],[Candidate 4]])/(SamplingData[[#Totals],[Winning Candidate]]-SamplingData[[#Totals],[Candidate 4]]), 0)</f>
        <v>0</v>
      </c>
      <c r="T17" s="95">
        <f>IF(AND(SamplingData[[#This Row],[Total]]&lt;&gt; 0, NOT(ISBLANK(SamplingData[[#This Row],[Candidate 5]]))),(SamplingData[[#This Row],[Total]]+SamplingData[[#This Row],[Winning Candidate]]-SamplingData[[#This Row],[Candidate 5]])/(SamplingData[[#Totals],[Winning Candidate]]-SamplingData[[#Totals],[Candidate 5]]), 0)</f>
        <v>0</v>
      </c>
      <c r="U17" s="95">
        <f>IF(AND(SamplingData[[#This Row],[Total]]&lt;&gt; 0, NOT(ISBLANK(SamplingData[[#This Row],[Candidate 6]]))),(SamplingData[[#This Row],[Total]]+SamplingData[[#This Row],[Losing Candidate]]-SamplingData[[#This Row],[Candidate 6]])/(SamplingData[[#Totals],[Winning Candidate]]-SamplingData[[#Totals],[Candidate 6]]), 0)</f>
        <v>0</v>
      </c>
      <c r="V17" s="95">
        <f>IF(AND(SamplingData[[#This Row],[Total]]&lt;&gt; 0, NOT(ISBLANK(SamplingData[[#This Row],[Candidate 7]]))),(SamplingData[[#This Row],[Total]]+SamplingData[[#This Row],[Winning Candidate]]-SamplingData[[#This Row],[Candidate 7]])/(SamplingData[[#Totals],[Winning Candidate]]-SamplingData[[#Totals],[Candidate 7]]), 0)</f>
        <v>0</v>
      </c>
      <c r="W17" s="95">
        <f>IF(AND(SamplingData[[#This Row],[Total]]&lt;&gt; 0, NOT(ISBLANK(SamplingData[[#This Row],[Candidate 8]]))),(SamplingData[[#This Row],[Total]]+SamplingData[[#This Row],[Winning Candidate]]-SamplingData[[#This Row],[Candidate 8]])/(SamplingData[[#Totals],[Winning Candidate]]-SamplingData[[#Totals],[Candidate 8]]), 0)</f>
        <v>0</v>
      </c>
      <c r="X1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 s="95">
        <f>MAX(SamplingData[[#This Row],[Error Bound (up) - Max. possible relative overstatement - Losing Candidate]:[Error Bound (up) - Max. possible relative overstatement - Candidate 12]])</f>
        <v>3.1603564882118703E-3</v>
      </c>
      <c r="AC17" s="95">
        <f>IF(SamplingData[[#This Row],[Max Error Bound (up)]] = 0,0,SamplingData[[#This Row],[Max Error Bound (up)]]/SamplingData[[#Totals],[Max Error Bound (up)]])</f>
        <v>1.2826482227663593E-3</v>
      </c>
      <c r="AD17" s="18">
        <f>SUM($AC$5:AC17)</f>
        <v>8.9383349794854398E-3</v>
      </c>
      <c r="AE17" s="95" t="str">
        <f t="array" ref="AE17">IF(SamplingData[[#This Row],[up/U Selection Probability]] = 0, "Zero", TEXT(SamplingData[[#This Row],[Lower Range]], REPT("0",LEN('General Info'!$B$42))) &amp; " - " &amp; TEXT(SamplingData[[#This Row],[Upper Range]], REPT("0",LEN('General Info'!$B$42))))</f>
        <v>00766 - 00893</v>
      </c>
      <c r="AF17" s="95">
        <f>SamplingData[[#This Row],[Upper Range]]-SamplingData[[#This Row],[Span]]</f>
        <v>765.56867567190807</v>
      </c>
      <c r="AG17" s="95">
        <f>IF(ISNUMBER('General Info'!$B$42), ((SamplingData[[#This Row],[up/U Selection Probability]]) * 'General Info'!$B$44) - 1, 0)</f>
        <v>127.26482227663593</v>
      </c>
      <c r="AH17" s="95">
        <f>IF(ISNUMBER('General Info'!$B$42), (SamplingData[[#This Row],[Running (cumulative) sum]] * ('General Info'!$B$42 -'General Info'!$B$43 + 1)) + 'General Info'!$B$43 - 1, 0)</f>
        <v>892.83349794854394</v>
      </c>
      <c r="AI17" s="95" t="str">
        <f>IF(ISERROR(MATCH(SamplingData[[#This Row],[Batch by Type (p)]],SelectedPrecincts[Batch Name], 0)), "", INDEX(SelectedPrecincts[Draw], MATCH(SamplingData[[#This Row],[Batch by Type (p)]],SelectedPrecincts[Batch Name], 0)))</f>
        <v/>
      </c>
      <c r="AJ17" s="96">
        <f>IF(COUNTIF(SelectedPrecincts[Batch Name],SamplingData[[#This Row],[Batch by Type (p)]]) &lt;&gt; 0, COUNTIF(SelectedPrecincts[Batch Name],SamplingData[[#This Row],[Batch by Type (p)]]), 0)</f>
        <v>0</v>
      </c>
    </row>
    <row r="18" spans="1:36" ht="15" customHeight="1" x14ac:dyDescent="0.35">
      <c r="A18" s="98" t="s">
        <v>229</v>
      </c>
      <c r="B18" s="98">
        <v>36</v>
      </c>
      <c r="C18" s="98">
        <v>4</v>
      </c>
      <c r="D18" s="93">
        <v>5</v>
      </c>
      <c r="E18" s="93"/>
      <c r="F18" s="93"/>
      <c r="G18" s="97"/>
      <c r="H18" s="97"/>
      <c r="I18" s="93"/>
      <c r="J18" s="93"/>
      <c r="K18" s="93"/>
      <c r="L18" s="93"/>
      <c r="M18" s="93"/>
      <c r="N18" s="98">
        <v>0</v>
      </c>
      <c r="O18" s="98">
        <v>1</v>
      </c>
      <c r="P18" s="94">
        <f>SUM(SamplingData[[#This Row],[Winning Candidate]:[Under Votes]])</f>
        <v>46</v>
      </c>
      <c r="Q18" s="95">
        <f>IF(AND(SamplingData[[#This Row],[Total]]&lt;&gt; 0, NOT(ISBLANK(SamplingData[[#This Row],[Losing Candidate]]))),(SamplingData[[#This Row],[Total]]+SamplingData[[#This Row],[Winning Candidate]]-SamplingData[[#This Row],[Losing Candidate]])/(SamplingData[[#Totals],[Winning Candidate]]-SamplingData[[#Totals],[Losing Candidate]]), 0)</f>
        <v>4.9301561216105174E-3</v>
      </c>
      <c r="R18" s="95">
        <f>IF(AND(SamplingData[[#This Row],[Total]]&lt;&gt; 0, NOT(ISBLANK(SamplingData[[#This Row],[Candidate 3]]))),(SamplingData[[#This Row],[Total]]+SamplingData[[#This Row],[Winning Candidate]]-SamplingData[[#This Row],[Candidate 3]])/(SamplingData[[#Totals],[Winning Candidate]]-SamplingData[[#Totals],[Candidate 3]]), 0)</f>
        <v>4.3463535786859332E-3</v>
      </c>
      <c r="S18" s="95">
        <f>IF(AND(SamplingData[[#This Row],[Total]]&lt;&gt; 0, NOT(ISBLANK(SamplingData[[#This Row],[Candidate 4]]))),(SamplingData[[#This Row],[Total]]+SamplingData[[#This Row],[Winning Candidate]]-SamplingData[[#This Row],[Candidate 4]])/(SamplingData[[#Totals],[Winning Candidate]]-SamplingData[[#Totals],[Candidate 4]]), 0)</f>
        <v>0</v>
      </c>
      <c r="T18" s="95">
        <f>IF(AND(SamplingData[[#This Row],[Total]]&lt;&gt; 0, NOT(ISBLANK(SamplingData[[#This Row],[Candidate 5]]))),(SamplingData[[#This Row],[Total]]+SamplingData[[#This Row],[Winning Candidate]]-SamplingData[[#This Row],[Candidate 5]])/(SamplingData[[#Totals],[Winning Candidate]]-SamplingData[[#Totals],[Candidate 5]]), 0)</f>
        <v>0</v>
      </c>
      <c r="U18" s="95">
        <f>IF(AND(SamplingData[[#This Row],[Total]]&lt;&gt; 0, NOT(ISBLANK(SamplingData[[#This Row],[Candidate 6]]))),(SamplingData[[#This Row],[Total]]+SamplingData[[#This Row],[Losing Candidate]]-SamplingData[[#This Row],[Candidate 6]])/(SamplingData[[#Totals],[Winning Candidate]]-SamplingData[[#Totals],[Candidate 6]]), 0)</f>
        <v>0</v>
      </c>
      <c r="V18" s="95">
        <f>IF(AND(SamplingData[[#This Row],[Total]]&lt;&gt; 0, NOT(ISBLANK(SamplingData[[#This Row],[Candidate 7]]))),(SamplingData[[#This Row],[Total]]+SamplingData[[#This Row],[Winning Candidate]]-SamplingData[[#This Row],[Candidate 7]])/(SamplingData[[#Totals],[Winning Candidate]]-SamplingData[[#Totals],[Candidate 7]]), 0)</f>
        <v>0</v>
      </c>
      <c r="W18" s="95">
        <f>IF(AND(SamplingData[[#This Row],[Total]]&lt;&gt; 0, NOT(ISBLANK(SamplingData[[#This Row],[Candidate 8]]))),(SamplingData[[#This Row],[Total]]+SamplingData[[#This Row],[Winning Candidate]]-SamplingData[[#This Row],[Candidate 8]])/(SamplingData[[#Totals],[Winning Candidate]]-SamplingData[[#Totals],[Candidate 8]]), 0)</f>
        <v>0</v>
      </c>
      <c r="X1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 s="95">
        <f>MAX(SamplingData[[#This Row],[Error Bound (up) - Max. possible relative overstatement - Losing Candidate]:[Error Bound (up) - Max. possible relative overstatement - Candidate 12]])</f>
        <v>4.9301561216105174E-3</v>
      </c>
      <c r="AC18" s="95">
        <f>IF(SamplingData[[#This Row],[Max Error Bound (up)]] = 0,0,SamplingData[[#This Row],[Max Error Bound (up)]]/SamplingData[[#Totals],[Max Error Bound (up)]])</f>
        <v>2.0009312275155208E-3</v>
      </c>
      <c r="AD18" s="18">
        <f>SUM($AC$5:AC18)</f>
        <v>1.0939266207000961E-2</v>
      </c>
      <c r="AE18" s="95" t="str">
        <f t="array" ref="AE18">IF(SamplingData[[#This Row],[up/U Selection Probability]] = 0, "Zero", TEXT(SamplingData[[#This Row],[Lower Range]], REPT("0",LEN('General Info'!$B$42))) &amp; " - " &amp; TEXT(SamplingData[[#This Row],[Upper Range]], REPT("0",LEN('General Info'!$B$42))))</f>
        <v>00894 - 01093</v>
      </c>
      <c r="AF18" s="95">
        <f>SamplingData[[#This Row],[Upper Range]]-SamplingData[[#This Row],[Span]]</f>
        <v>893.83349794854394</v>
      </c>
      <c r="AG18" s="95">
        <f>IF(ISNUMBER('General Info'!$B$42), ((SamplingData[[#This Row],[up/U Selection Probability]]) * 'General Info'!$B$44) - 1, 0)</f>
        <v>199.09312275155207</v>
      </c>
      <c r="AH18" s="95">
        <f>IF(ISNUMBER('General Info'!$B$42), (SamplingData[[#This Row],[Running (cumulative) sum]] * ('General Info'!$B$42 -'General Info'!$B$43 + 1)) + 'General Info'!$B$43 - 1, 0)</f>
        <v>1092.926620700096</v>
      </c>
      <c r="AI18" s="95" t="str">
        <f>IF(ISERROR(MATCH(SamplingData[[#This Row],[Batch by Type (p)]],SelectedPrecincts[Batch Name], 0)), "", INDEX(SelectedPrecincts[Draw], MATCH(SamplingData[[#This Row],[Batch by Type (p)]],SelectedPrecincts[Batch Name], 0)))</f>
        <v/>
      </c>
      <c r="AJ18" s="96">
        <f>IF(COUNTIF(SelectedPrecincts[Batch Name],SamplingData[[#This Row],[Batch by Type (p)]]) &lt;&gt; 0, COUNTIF(SelectedPrecincts[Batch Name],SamplingData[[#This Row],[Batch by Type (p)]]), 0)</f>
        <v>0</v>
      </c>
    </row>
    <row r="19" spans="1:36" ht="15" customHeight="1" x14ac:dyDescent="0.35">
      <c r="A19" s="98" t="s">
        <v>230</v>
      </c>
      <c r="B19" s="98">
        <v>51</v>
      </c>
      <c r="C19" s="98">
        <v>16</v>
      </c>
      <c r="D19" s="93">
        <v>6</v>
      </c>
      <c r="E19" s="93"/>
      <c r="F19" s="93"/>
      <c r="G19" s="97"/>
      <c r="H19" s="97"/>
      <c r="I19" s="93"/>
      <c r="J19" s="93"/>
      <c r="K19" s="93"/>
      <c r="L19" s="93"/>
      <c r="M19" s="93"/>
      <c r="N19" s="98">
        <v>0</v>
      </c>
      <c r="O19" s="98">
        <v>1</v>
      </c>
      <c r="P19" s="94">
        <f>SUM(SamplingData[[#This Row],[Winning Candidate]:[Under Votes]])</f>
        <v>74</v>
      </c>
      <c r="Q19" s="95">
        <f>IF(AND(SamplingData[[#This Row],[Total]]&lt;&gt; 0, NOT(ISBLANK(SamplingData[[#This Row],[Losing Candidate]]))),(SamplingData[[#This Row],[Total]]+SamplingData[[#This Row],[Winning Candidate]]-SamplingData[[#This Row],[Losing Candidate]])/(SamplingData[[#Totals],[Winning Candidate]]-SamplingData[[#Totals],[Losing Candidate]]), 0)</f>
        <v>6.8895771443018769E-3</v>
      </c>
      <c r="R19" s="95">
        <f>IF(AND(SamplingData[[#This Row],[Total]]&lt;&gt; 0, NOT(ISBLANK(SamplingData[[#This Row],[Candidate 3]]))),(SamplingData[[#This Row],[Total]]+SamplingData[[#This Row],[Winning Candidate]]-SamplingData[[#This Row],[Candidate 3]])/(SamplingData[[#Totals],[Winning Candidate]]-SamplingData[[#Totals],[Candidate 3]]), 0)</f>
        <v>6.7170918943328063E-3</v>
      </c>
      <c r="S19" s="95">
        <f>IF(AND(SamplingData[[#This Row],[Total]]&lt;&gt; 0, NOT(ISBLANK(SamplingData[[#This Row],[Candidate 4]]))),(SamplingData[[#This Row],[Total]]+SamplingData[[#This Row],[Winning Candidate]]-SamplingData[[#This Row],[Candidate 4]])/(SamplingData[[#Totals],[Winning Candidate]]-SamplingData[[#Totals],[Candidate 4]]), 0)</f>
        <v>0</v>
      </c>
      <c r="T19" s="95">
        <f>IF(AND(SamplingData[[#This Row],[Total]]&lt;&gt; 0, NOT(ISBLANK(SamplingData[[#This Row],[Candidate 5]]))),(SamplingData[[#This Row],[Total]]+SamplingData[[#This Row],[Winning Candidate]]-SamplingData[[#This Row],[Candidate 5]])/(SamplingData[[#Totals],[Winning Candidate]]-SamplingData[[#Totals],[Candidate 5]]), 0)</f>
        <v>0</v>
      </c>
      <c r="U19" s="95">
        <f>IF(AND(SamplingData[[#This Row],[Total]]&lt;&gt; 0, NOT(ISBLANK(SamplingData[[#This Row],[Candidate 6]]))),(SamplingData[[#This Row],[Total]]+SamplingData[[#This Row],[Losing Candidate]]-SamplingData[[#This Row],[Candidate 6]])/(SamplingData[[#Totals],[Winning Candidate]]-SamplingData[[#Totals],[Candidate 6]]), 0)</f>
        <v>0</v>
      </c>
      <c r="V19" s="95">
        <f>IF(AND(SamplingData[[#This Row],[Total]]&lt;&gt; 0, NOT(ISBLANK(SamplingData[[#This Row],[Candidate 7]]))),(SamplingData[[#This Row],[Total]]+SamplingData[[#This Row],[Winning Candidate]]-SamplingData[[#This Row],[Candidate 7]])/(SamplingData[[#Totals],[Winning Candidate]]-SamplingData[[#Totals],[Candidate 7]]), 0)</f>
        <v>0</v>
      </c>
      <c r="W19" s="95">
        <f>IF(AND(SamplingData[[#This Row],[Total]]&lt;&gt; 0, NOT(ISBLANK(SamplingData[[#This Row],[Candidate 8]]))),(SamplingData[[#This Row],[Total]]+SamplingData[[#This Row],[Winning Candidate]]-SamplingData[[#This Row],[Candidate 8]])/(SamplingData[[#Totals],[Winning Candidate]]-SamplingData[[#Totals],[Candidate 8]]), 0)</f>
        <v>0</v>
      </c>
      <c r="X1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 s="95">
        <f>MAX(SamplingData[[#This Row],[Error Bound (up) - Max. possible relative overstatement - Losing Candidate]:[Error Bound (up) - Max. possible relative overstatement - Candidate 12]])</f>
        <v>6.8895771443018769E-3</v>
      </c>
      <c r="AC19" s="95">
        <f>IF(SamplingData[[#This Row],[Max Error Bound (up)]] = 0,0,SamplingData[[#This Row],[Max Error Bound (up)]]/SamplingData[[#Totals],[Max Error Bound (up)]])</f>
        <v>2.7961731256306633E-3</v>
      </c>
      <c r="AD19" s="18">
        <f>SUM($AC$5:AC19)</f>
        <v>1.3735439332631624E-2</v>
      </c>
      <c r="AE19" s="95" t="str">
        <f t="array" ref="AE19">IF(SamplingData[[#This Row],[up/U Selection Probability]] = 0, "Zero", TEXT(SamplingData[[#This Row],[Lower Range]], REPT("0",LEN('General Info'!$B$42))) &amp; " - " &amp; TEXT(SamplingData[[#This Row],[Upper Range]], REPT("0",LEN('General Info'!$B$42))))</f>
        <v>01094 - 01373</v>
      </c>
      <c r="AF19" s="95">
        <f>SamplingData[[#This Row],[Upper Range]]-SamplingData[[#This Row],[Span]]</f>
        <v>1093.926620700096</v>
      </c>
      <c r="AG19" s="95">
        <f>IF(ISNUMBER('General Info'!$B$42), ((SamplingData[[#This Row],[up/U Selection Probability]]) * 'General Info'!$B$44) - 1, 0)</f>
        <v>278.61731256306632</v>
      </c>
      <c r="AH19" s="95">
        <f>IF(ISNUMBER('General Info'!$B$42), (SamplingData[[#This Row],[Running (cumulative) sum]] * ('General Info'!$B$42 -'General Info'!$B$43 + 1)) + 'General Info'!$B$43 - 1, 0)</f>
        <v>1372.5439332631624</v>
      </c>
      <c r="AI19" s="95" t="str">
        <f>IF(ISERROR(MATCH(SamplingData[[#This Row],[Batch by Type (p)]],SelectedPrecincts[Batch Name], 0)), "", INDEX(SelectedPrecincts[Draw], MATCH(SamplingData[[#This Row],[Batch by Type (p)]],SelectedPrecincts[Batch Name], 0)))</f>
        <v/>
      </c>
      <c r="AJ19" s="96">
        <f>IF(COUNTIF(SelectedPrecincts[Batch Name],SamplingData[[#This Row],[Batch by Type (p)]]) &lt;&gt; 0, COUNTIF(SelectedPrecincts[Batch Name],SamplingData[[#This Row],[Batch by Type (p)]]), 0)</f>
        <v>0</v>
      </c>
    </row>
    <row r="20" spans="1:36" ht="15" customHeight="1" x14ac:dyDescent="0.35">
      <c r="A20" s="98" t="s">
        <v>231</v>
      </c>
      <c r="B20" s="98">
        <v>14</v>
      </c>
      <c r="C20" s="98">
        <v>3</v>
      </c>
      <c r="D20" s="93">
        <v>0</v>
      </c>
      <c r="E20" s="93"/>
      <c r="F20" s="93"/>
      <c r="G20" s="97"/>
      <c r="H20" s="97"/>
      <c r="I20" s="93"/>
      <c r="J20" s="93"/>
      <c r="K20" s="93"/>
      <c r="L20" s="93"/>
      <c r="M20" s="93"/>
      <c r="N20" s="98">
        <v>0</v>
      </c>
      <c r="O20" s="98">
        <v>0</v>
      </c>
      <c r="P20" s="94">
        <f>SUM(SamplingData[[#This Row],[Winning Candidate]:[Under Votes]])</f>
        <v>17</v>
      </c>
      <c r="Q20" s="95">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20" s="95">
        <f>IF(AND(SamplingData[[#This Row],[Total]]&lt;&gt; 0, NOT(ISBLANK(SamplingData[[#This Row],[Candidate 3]]))),(SamplingData[[#This Row],[Total]]+SamplingData[[#This Row],[Winning Candidate]]-SamplingData[[#This Row],[Candidate 3]])/(SamplingData[[#Totals],[Winning Candidate]]-SamplingData[[#Totals],[Candidate 3]]), 0)</f>
        <v>1.7498306615488823E-3</v>
      </c>
      <c r="S20" s="95">
        <f>IF(AND(SamplingData[[#This Row],[Total]]&lt;&gt; 0, NOT(ISBLANK(SamplingData[[#This Row],[Candidate 4]]))),(SamplingData[[#This Row],[Total]]+SamplingData[[#This Row],[Winning Candidate]]-SamplingData[[#This Row],[Candidate 4]])/(SamplingData[[#Totals],[Winning Candidate]]-SamplingData[[#Totals],[Candidate 4]]), 0)</f>
        <v>0</v>
      </c>
      <c r="T20" s="95">
        <f>IF(AND(SamplingData[[#This Row],[Total]]&lt;&gt; 0, NOT(ISBLANK(SamplingData[[#This Row],[Candidate 5]]))),(SamplingData[[#This Row],[Total]]+SamplingData[[#This Row],[Winning Candidate]]-SamplingData[[#This Row],[Candidate 5]])/(SamplingData[[#Totals],[Winning Candidate]]-SamplingData[[#Totals],[Candidate 5]]), 0)</f>
        <v>0</v>
      </c>
      <c r="U20" s="95">
        <f>IF(AND(SamplingData[[#This Row],[Total]]&lt;&gt; 0, NOT(ISBLANK(SamplingData[[#This Row],[Candidate 6]]))),(SamplingData[[#This Row],[Total]]+SamplingData[[#This Row],[Losing Candidate]]-SamplingData[[#This Row],[Candidate 6]])/(SamplingData[[#Totals],[Winning Candidate]]-SamplingData[[#Totals],[Candidate 6]]), 0)</f>
        <v>0</v>
      </c>
      <c r="V20" s="95">
        <f>IF(AND(SamplingData[[#This Row],[Total]]&lt;&gt; 0, NOT(ISBLANK(SamplingData[[#This Row],[Candidate 7]]))),(SamplingData[[#This Row],[Total]]+SamplingData[[#This Row],[Winning Candidate]]-SamplingData[[#This Row],[Candidate 7]])/(SamplingData[[#Totals],[Winning Candidate]]-SamplingData[[#Totals],[Candidate 7]]), 0)</f>
        <v>0</v>
      </c>
      <c r="W20" s="95">
        <f>IF(AND(SamplingData[[#This Row],[Total]]&lt;&gt; 0, NOT(ISBLANK(SamplingData[[#This Row],[Candidate 8]]))),(SamplingData[[#This Row],[Total]]+SamplingData[[#This Row],[Winning Candidate]]-SamplingData[[#This Row],[Candidate 8]])/(SamplingData[[#Totals],[Winning Candidate]]-SamplingData[[#Totals],[Candidate 8]]), 0)</f>
        <v>0</v>
      </c>
      <c r="X2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 s="95">
        <f>MAX(SamplingData[[#This Row],[Error Bound (up) - Max. possible relative overstatement - Losing Candidate]:[Error Bound (up) - Max. possible relative overstatement - Candidate 12]])</f>
        <v>1.7697996333986474E-3</v>
      </c>
      <c r="AC20" s="95">
        <f>IF(SamplingData[[#This Row],[Max Error Bound (up)]] = 0,0,SamplingData[[#This Row],[Max Error Bound (up)]]/SamplingData[[#Totals],[Max Error Bound (up)]])</f>
        <v>7.1828300474916125E-4</v>
      </c>
      <c r="AD20" s="18">
        <f>SUM($AC$5:AC20)</f>
        <v>1.4453722337380785E-2</v>
      </c>
      <c r="AE20" s="95" t="str">
        <f t="array" ref="AE20">IF(SamplingData[[#This Row],[up/U Selection Probability]] = 0, "Zero", TEXT(SamplingData[[#This Row],[Lower Range]], REPT("0",LEN('General Info'!$B$42))) &amp; " - " &amp; TEXT(SamplingData[[#This Row],[Upper Range]], REPT("0",LEN('General Info'!$B$42))))</f>
        <v>01374 - 01444</v>
      </c>
      <c r="AF20" s="95">
        <f>SamplingData[[#This Row],[Upper Range]]-SamplingData[[#This Row],[Span]]</f>
        <v>1373.5439332631622</v>
      </c>
      <c r="AG20" s="95">
        <f>IF(ISNUMBER('General Info'!$B$42), ((SamplingData[[#This Row],[up/U Selection Probability]]) * 'General Info'!$B$44) - 1, 0)</f>
        <v>70.828300474916119</v>
      </c>
      <c r="AH20" s="95">
        <f>IF(ISNUMBER('General Info'!$B$42), (SamplingData[[#This Row],[Running (cumulative) sum]] * ('General Info'!$B$42 -'General Info'!$B$43 + 1)) + 'General Info'!$B$43 - 1, 0)</f>
        <v>1444.3722337380784</v>
      </c>
      <c r="AI20" s="95" t="str">
        <f>IF(ISERROR(MATCH(SamplingData[[#This Row],[Batch by Type (p)]],SelectedPrecincts[Batch Name], 0)), "", INDEX(SelectedPrecincts[Draw], MATCH(SamplingData[[#This Row],[Batch by Type (p)]],SelectedPrecincts[Batch Name], 0)))</f>
        <v/>
      </c>
      <c r="AJ20" s="96">
        <f>IF(COUNTIF(SelectedPrecincts[Batch Name],SamplingData[[#This Row],[Batch by Type (p)]]) &lt;&gt; 0, COUNTIF(SelectedPrecincts[Batch Name],SamplingData[[#This Row],[Batch by Type (p)]]), 0)</f>
        <v>0</v>
      </c>
    </row>
    <row r="21" spans="1:36" ht="15" customHeight="1" x14ac:dyDescent="0.35">
      <c r="A21" s="98" t="s">
        <v>232</v>
      </c>
      <c r="B21" s="98">
        <v>29</v>
      </c>
      <c r="C21" s="98">
        <v>6</v>
      </c>
      <c r="D21" s="93">
        <v>3</v>
      </c>
      <c r="E21" s="93"/>
      <c r="F21" s="93"/>
      <c r="G21" s="97"/>
      <c r="H21" s="97"/>
      <c r="I21" s="93"/>
      <c r="J21" s="93"/>
      <c r="K21" s="93"/>
      <c r="L21" s="93"/>
      <c r="M21" s="93"/>
      <c r="N21" s="98">
        <v>0</v>
      </c>
      <c r="O21" s="98">
        <v>0</v>
      </c>
      <c r="P21" s="94">
        <f>SUM(SamplingData[[#This Row],[Winning Candidate]:[Under Votes]])</f>
        <v>38</v>
      </c>
      <c r="Q21" s="95">
        <f>IF(AND(SamplingData[[#This Row],[Total]]&lt;&gt; 0, NOT(ISBLANK(SamplingData[[#This Row],[Losing Candidate]]))),(SamplingData[[#This Row],[Total]]+SamplingData[[#This Row],[Winning Candidate]]-SamplingData[[#This Row],[Losing Candidate]])/(SamplingData[[#Totals],[Winning Candidate]]-SamplingData[[#Totals],[Losing Candidate]]), 0)</f>
        <v>3.8556349156184818E-3</v>
      </c>
      <c r="R21" s="95">
        <f>IF(AND(SamplingData[[#This Row],[Total]]&lt;&gt; 0, NOT(ISBLANK(SamplingData[[#This Row],[Candidate 3]]))),(SamplingData[[#This Row],[Total]]+SamplingData[[#This Row],[Winning Candidate]]-SamplingData[[#This Row],[Candidate 3]])/(SamplingData[[#Totals],[Winning Candidate]]-SamplingData[[#Totals],[Candidate 3]]), 0)</f>
        <v>3.6125536238428538E-3</v>
      </c>
      <c r="S21" s="95">
        <f>IF(AND(SamplingData[[#This Row],[Total]]&lt;&gt; 0, NOT(ISBLANK(SamplingData[[#This Row],[Candidate 4]]))),(SamplingData[[#This Row],[Total]]+SamplingData[[#This Row],[Winning Candidate]]-SamplingData[[#This Row],[Candidate 4]])/(SamplingData[[#Totals],[Winning Candidate]]-SamplingData[[#Totals],[Candidate 4]]), 0)</f>
        <v>0</v>
      </c>
      <c r="T21" s="95">
        <f>IF(AND(SamplingData[[#This Row],[Total]]&lt;&gt; 0, NOT(ISBLANK(SamplingData[[#This Row],[Candidate 5]]))),(SamplingData[[#This Row],[Total]]+SamplingData[[#This Row],[Winning Candidate]]-SamplingData[[#This Row],[Candidate 5]])/(SamplingData[[#Totals],[Winning Candidate]]-SamplingData[[#Totals],[Candidate 5]]), 0)</f>
        <v>0</v>
      </c>
      <c r="U21" s="95">
        <f>IF(AND(SamplingData[[#This Row],[Total]]&lt;&gt; 0, NOT(ISBLANK(SamplingData[[#This Row],[Candidate 6]]))),(SamplingData[[#This Row],[Total]]+SamplingData[[#This Row],[Losing Candidate]]-SamplingData[[#This Row],[Candidate 6]])/(SamplingData[[#Totals],[Winning Candidate]]-SamplingData[[#Totals],[Candidate 6]]), 0)</f>
        <v>0</v>
      </c>
      <c r="V21" s="95">
        <f>IF(AND(SamplingData[[#This Row],[Total]]&lt;&gt; 0, NOT(ISBLANK(SamplingData[[#This Row],[Candidate 7]]))),(SamplingData[[#This Row],[Total]]+SamplingData[[#This Row],[Winning Candidate]]-SamplingData[[#This Row],[Candidate 7]])/(SamplingData[[#Totals],[Winning Candidate]]-SamplingData[[#Totals],[Candidate 7]]), 0)</f>
        <v>0</v>
      </c>
      <c r="W21" s="95">
        <f>IF(AND(SamplingData[[#This Row],[Total]]&lt;&gt; 0, NOT(ISBLANK(SamplingData[[#This Row],[Candidate 8]]))),(SamplingData[[#This Row],[Total]]+SamplingData[[#This Row],[Winning Candidate]]-SamplingData[[#This Row],[Candidate 8]])/(SamplingData[[#Totals],[Winning Candidate]]-SamplingData[[#Totals],[Candidate 8]]), 0)</f>
        <v>0</v>
      </c>
      <c r="X2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 s="95">
        <f>MAX(SamplingData[[#This Row],[Error Bound (up) - Max. possible relative overstatement - Losing Candidate]:[Error Bound (up) - Max. possible relative overstatement - Candidate 12]])</f>
        <v>3.8556349156184818E-3</v>
      </c>
      <c r="AC21" s="95">
        <f>IF(SamplingData[[#This Row],[Max Error Bound (up)]] = 0,0,SamplingData[[#This Row],[Max Error Bound (up)]]/SamplingData[[#Totals],[Max Error Bound (up)]])</f>
        <v>1.5648308317749585E-3</v>
      </c>
      <c r="AD21" s="18">
        <f>SUM($AC$5:AC21)</f>
        <v>1.6018553169155743E-2</v>
      </c>
      <c r="AE21" s="95" t="str">
        <f t="array" ref="AE21">IF(SamplingData[[#This Row],[up/U Selection Probability]] = 0, "Zero", TEXT(SamplingData[[#This Row],[Lower Range]], REPT("0",LEN('General Info'!$B$42))) &amp; " - " &amp; TEXT(SamplingData[[#This Row],[Upper Range]], REPT("0",LEN('General Info'!$B$42))))</f>
        <v>01445 - 01601</v>
      </c>
      <c r="AF21" s="95">
        <f>SamplingData[[#This Row],[Upper Range]]-SamplingData[[#This Row],[Span]]</f>
        <v>1445.3722337380784</v>
      </c>
      <c r="AG21" s="95">
        <f>IF(ISNUMBER('General Info'!$B$42), ((SamplingData[[#This Row],[up/U Selection Probability]]) * 'General Info'!$B$44) - 1, 0)</f>
        <v>155.48308317749584</v>
      </c>
      <c r="AH21" s="95">
        <f>IF(ISNUMBER('General Info'!$B$42), (SamplingData[[#This Row],[Running (cumulative) sum]] * ('General Info'!$B$42 -'General Info'!$B$43 + 1)) + 'General Info'!$B$43 - 1, 0)</f>
        <v>1600.8553169155743</v>
      </c>
      <c r="AI21" s="95" t="str">
        <f>IF(ISERROR(MATCH(SamplingData[[#This Row],[Batch by Type (p)]],SelectedPrecincts[Batch Name], 0)), "", INDEX(SelectedPrecincts[Draw], MATCH(SamplingData[[#This Row],[Batch by Type (p)]],SelectedPrecincts[Batch Name], 0)))</f>
        <v/>
      </c>
      <c r="AJ21" s="96">
        <f>IF(COUNTIF(SelectedPrecincts[Batch Name],SamplingData[[#This Row],[Batch by Type (p)]]) &lt;&gt; 0, COUNTIF(SelectedPrecincts[Batch Name],SamplingData[[#This Row],[Batch by Type (p)]]), 0)</f>
        <v>0</v>
      </c>
    </row>
    <row r="22" spans="1:36" ht="15" customHeight="1" x14ac:dyDescent="0.35">
      <c r="A22" s="98" t="s">
        <v>233</v>
      </c>
      <c r="B22" s="98">
        <v>39</v>
      </c>
      <c r="C22" s="98">
        <v>11</v>
      </c>
      <c r="D22" s="93">
        <v>13</v>
      </c>
      <c r="E22" s="93"/>
      <c r="F22" s="93"/>
      <c r="G22" s="97"/>
      <c r="H22" s="97"/>
      <c r="I22" s="93"/>
      <c r="J22" s="93"/>
      <c r="K22" s="93"/>
      <c r="L22" s="93"/>
      <c r="M22" s="93"/>
      <c r="N22" s="98">
        <v>0</v>
      </c>
      <c r="O22" s="98">
        <v>0</v>
      </c>
      <c r="P22" s="94">
        <f>SUM(SamplingData[[#This Row],[Winning Candidate]:[Under Votes]])</f>
        <v>63</v>
      </c>
      <c r="Q22" s="95">
        <f>IF(AND(SamplingData[[#This Row],[Total]]&lt;&gt; 0, NOT(ISBLANK(SamplingData[[#This Row],[Losing Candidate]]))),(SamplingData[[#This Row],[Total]]+SamplingData[[#This Row],[Winning Candidate]]-SamplingData[[#This Row],[Losing Candidate]])/(SamplingData[[#Totals],[Winning Candidate]]-SamplingData[[#Totals],[Losing Candidate]]), 0)</f>
        <v>5.7518488085456041E-3</v>
      </c>
      <c r="R22" s="95">
        <f>IF(AND(SamplingData[[#This Row],[Total]]&lt;&gt; 0, NOT(ISBLANK(SamplingData[[#This Row],[Candidate 3]]))),(SamplingData[[#This Row],[Total]]+SamplingData[[#This Row],[Winning Candidate]]-SamplingData[[#This Row],[Candidate 3]])/(SamplingData[[#Totals],[Winning Candidate]]-SamplingData[[#Totals],[Candidate 3]]), 0)</f>
        <v>5.0237073831564689E-3</v>
      </c>
      <c r="S22" s="95">
        <f>IF(AND(SamplingData[[#This Row],[Total]]&lt;&gt; 0, NOT(ISBLANK(SamplingData[[#This Row],[Candidate 4]]))),(SamplingData[[#This Row],[Total]]+SamplingData[[#This Row],[Winning Candidate]]-SamplingData[[#This Row],[Candidate 4]])/(SamplingData[[#Totals],[Winning Candidate]]-SamplingData[[#Totals],[Candidate 4]]), 0)</f>
        <v>0</v>
      </c>
      <c r="T22" s="95">
        <f>IF(AND(SamplingData[[#This Row],[Total]]&lt;&gt; 0, NOT(ISBLANK(SamplingData[[#This Row],[Candidate 5]]))),(SamplingData[[#This Row],[Total]]+SamplingData[[#This Row],[Winning Candidate]]-SamplingData[[#This Row],[Candidate 5]])/(SamplingData[[#Totals],[Winning Candidate]]-SamplingData[[#Totals],[Candidate 5]]), 0)</f>
        <v>0</v>
      </c>
      <c r="U22" s="95">
        <f>IF(AND(SamplingData[[#This Row],[Total]]&lt;&gt; 0, NOT(ISBLANK(SamplingData[[#This Row],[Candidate 6]]))),(SamplingData[[#This Row],[Total]]+SamplingData[[#This Row],[Losing Candidate]]-SamplingData[[#This Row],[Candidate 6]])/(SamplingData[[#Totals],[Winning Candidate]]-SamplingData[[#Totals],[Candidate 6]]), 0)</f>
        <v>0</v>
      </c>
      <c r="V22" s="95">
        <f>IF(AND(SamplingData[[#This Row],[Total]]&lt;&gt; 0, NOT(ISBLANK(SamplingData[[#This Row],[Candidate 7]]))),(SamplingData[[#This Row],[Total]]+SamplingData[[#This Row],[Winning Candidate]]-SamplingData[[#This Row],[Candidate 7]])/(SamplingData[[#Totals],[Winning Candidate]]-SamplingData[[#Totals],[Candidate 7]]), 0)</f>
        <v>0</v>
      </c>
      <c r="W22" s="95">
        <f>IF(AND(SamplingData[[#This Row],[Total]]&lt;&gt; 0, NOT(ISBLANK(SamplingData[[#This Row],[Candidate 8]]))),(SamplingData[[#This Row],[Total]]+SamplingData[[#This Row],[Winning Candidate]]-SamplingData[[#This Row],[Candidate 8]])/(SamplingData[[#Totals],[Winning Candidate]]-SamplingData[[#Totals],[Candidate 8]]), 0)</f>
        <v>0</v>
      </c>
      <c r="X2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 s="95">
        <f>MAX(SamplingData[[#This Row],[Error Bound (up) - Max. possible relative overstatement - Losing Candidate]:[Error Bound (up) - Max. possible relative overstatement - Candidate 12]])</f>
        <v>5.7518488085456041E-3</v>
      </c>
      <c r="AC22" s="95">
        <f>IF(SamplingData[[#This Row],[Max Error Bound (up)]] = 0,0,SamplingData[[#This Row],[Max Error Bound (up)]]/SamplingData[[#Totals],[Max Error Bound (up)]])</f>
        <v>2.3344197654347741E-3</v>
      </c>
      <c r="AD22" s="18">
        <f>SUM($AC$5:AC22)</f>
        <v>1.8352972934590518E-2</v>
      </c>
      <c r="AE22" s="95" t="str">
        <f t="array" ref="AE22">IF(SamplingData[[#This Row],[up/U Selection Probability]] = 0, "Zero", TEXT(SamplingData[[#This Row],[Lower Range]], REPT("0",LEN('General Info'!$B$42))) &amp; " - " &amp; TEXT(SamplingData[[#This Row],[Upper Range]], REPT("0",LEN('General Info'!$B$42))))</f>
        <v>01602 - 01834</v>
      </c>
      <c r="AF22" s="95">
        <f>SamplingData[[#This Row],[Upper Range]]-SamplingData[[#This Row],[Span]]</f>
        <v>1601.8553169155743</v>
      </c>
      <c r="AG22" s="95">
        <f>IF(ISNUMBER('General Info'!$B$42), ((SamplingData[[#This Row],[up/U Selection Probability]]) * 'General Info'!$B$44) - 1, 0)</f>
        <v>232.44197654347741</v>
      </c>
      <c r="AH22" s="95">
        <f>IF(ISNUMBER('General Info'!$B$42), (SamplingData[[#This Row],[Running (cumulative) sum]] * ('General Info'!$B$42 -'General Info'!$B$43 + 1)) + 'General Info'!$B$43 - 1, 0)</f>
        <v>1834.2972934590518</v>
      </c>
      <c r="AI22" s="95" t="str">
        <f>IF(ISERROR(MATCH(SamplingData[[#This Row],[Batch by Type (p)]],SelectedPrecincts[Batch Name], 0)), "", INDEX(SelectedPrecincts[Draw], MATCH(SamplingData[[#This Row],[Batch by Type (p)]],SelectedPrecincts[Batch Name], 0)))</f>
        <v/>
      </c>
      <c r="AJ22" s="96">
        <f>IF(COUNTIF(SelectedPrecincts[Batch Name],SamplingData[[#This Row],[Batch by Type (p)]]) &lt;&gt; 0, COUNTIF(SelectedPrecincts[Batch Name],SamplingData[[#This Row],[Batch by Type (p)]]), 0)</f>
        <v>0</v>
      </c>
    </row>
    <row r="23" spans="1:36" ht="15" customHeight="1" x14ac:dyDescent="0.35">
      <c r="A23" s="98" t="s">
        <v>234</v>
      </c>
      <c r="B23" s="98">
        <v>26</v>
      </c>
      <c r="C23" s="98">
        <v>4</v>
      </c>
      <c r="D23" s="93">
        <v>1</v>
      </c>
      <c r="E23" s="93"/>
      <c r="F23" s="93"/>
      <c r="G23" s="97"/>
      <c r="H23" s="97"/>
      <c r="I23" s="93"/>
      <c r="J23" s="93"/>
      <c r="K23" s="93"/>
      <c r="L23" s="93"/>
      <c r="M23" s="93"/>
      <c r="N23" s="98">
        <v>0</v>
      </c>
      <c r="O23" s="98">
        <v>0</v>
      </c>
      <c r="P23" s="94">
        <f>SUM(SamplingData[[#This Row],[Winning Candidate]:[Under Votes]])</f>
        <v>31</v>
      </c>
      <c r="Q23" s="95">
        <f>IF(AND(SamplingData[[#This Row],[Total]]&lt;&gt; 0, NOT(ISBLANK(SamplingData[[#This Row],[Losing Candidate]]))),(SamplingData[[#This Row],[Total]]+SamplingData[[#This Row],[Winning Candidate]]-SamplingData[[#This Row],[Losing Candidate]])/(SamplingData[[#Totals],[Winning Candidate]]-SamplingData[[#Totals],[Losing Candidate]]), 0)</f>
        <v>3.3499778775045825E-3</v>
      </c>
      <c r="R23" s="95">
        <f>IF(AND(SamplingData[[#This Row],[Total]]&lt;&gt; 0, NOT(ISBLANK(SamplingData[[#This Row],[Candidate 3]]))),(SamplingData[[#This Row],[Total]]+SamplingData[[#This Row],[Winning Candidate]]-SamplingData[[#This Row],[Candidate 3]])/(SamplingData[[#Totals],[Winning Candidate]]-SamplingData[[#Totals],[Candidate 3]]), 0)</f>
        <v>3.1609844208624971E-3</v>
      </c>
      <c r="S23" s="95">
        <f>IF(AND(SamplingData[[#This Row],[Total]]&lt;&gt; 0, NOT(ISBLANK(SamplingData[[#This Row],[Candidate 4]]))),(SamplingData[[#This Row],[Total]]+SamplingData[[#This Row],[Winning Candidate]]-SamplingData[[#This Row],[Candidate 4]])/(SamplingData[[#Totals],[Winning Candidate]]-SamplingData[[#Totals],[Candidate 4]]), 0)</f>
        <v>0</v>
      </c>
      <c r="T23" s="95">
        <f>IF(AND(SamplingData[[#This Row],[Total]]&lt;&gt; 0, NOT(ISBLANK(SamplingData[[#This Row],[Candidate 5]]))),(SamplingData[[#This Row],[Total]]+SamplingData[[#This Row],[Winning Candidate]]-SamplingData[[#This Row],[Candidate 5]])/(SamplingData[[#Totals],[Winning Candidate]]-SamplingData[[#Totals],[Candidate 5]]), 0)</f>
        <v>0</v>
      </c>
      <c r="U23" s="95">
        <f>IF(AND(SamplingData[[#This Row],[Total]]&lt;&gt; 0, NOT(ISBLANK(SamplingData[[#This Row],[Candidate 6]]))),(SamplingData[[#This Row],[Total]]+SamplingData[[#This Row],[Losing Candidate]]-SamplingData[[#This Row],[Candidate 6]])/(SamplingData[[#Totals],[Winning Candidate]]-SamplingData[[#Totals],[Candidate 6]]), 0)</f>
        <v>0</v>
      </c>
      <c r="V23" s="95">
        <f>IF(AND(SamplingData[[#This Row],[Total]]&lt;&gt; 0, NOT(ISBLANK(SamplingData[[#This Row],[Candidate 7]]))),(SamplingData[[#This Row],[Total]]+SamplingData[[#This Row],[Winning Candidate]]-SamplingData[[#This Row],[Candidate 7]])/(SamplingData[[#Totals],[Winning Candidate]]-SamplingData[[#Totals],[Candidate 7]]), 0)</f>
        <v>0</v>
      </c>
      <c r="W23" s="95">
        <f>IF(AND(SamplingData[[#This Row],[Total]]&lt;&gt; 0, NOT(ISBLANK(SamplingData[[#This Row],[Candidate 8]]))),(SamplingData[[#This Row],[Total]]+SamplingData[[#This Row],[Winning Candidate]]-SamplingData[[#This Row],[Candidate 8]])/(SamplingData[[#Totals],[Winning Candidate]]-SamplingData[[#Totals],[Candidate 8]]), 0)</f>
        <v>0</v>
      </c>
      <c r="X23"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 s="95">
        <f>MAX(SamplingData[[#This Row],[Error Bound (up) - Max. possible relative overstatement - Losing Candidate]:[Error Bound (up) - Max. possible relative overstatement - Candidate 12]])</f>
        <v>3.3499778775045825E-3</v>
      </c>
      <c r="AC23" s="95">
        <f>IF(SamplingData[[#This Row],[Max Error Bound (up)]] = 0,0,SamplingData[[#This Row],[Max Error Bound (up)]]/SamplingData[[#Totals],[Max Error Bound (up)]])</f>
        <v>1.359607116132341E-3</v>
      </c>
      <c r="AD23" s="18">
        <f>SUM($AC$5:AC23)</f>
        <v>1.971258005072286E-2</v>
      </c>
      <c r="AE23" s="95" t="str">
        <f t="array" ref="AE23">IF(SamplingData[[#This Row],[up/U Selection Probability]] = 0, "Zero", TEXT(SamplingData[[#This Row],[Lower Range]], REPT("0",LEN('General Info'!$B$42))) &amp; " - " &amp; TEXT(SamplingData[[#This Row],[Upper Range]], REPT("0",LEN('General Info'!$B$42))))</f>
        <v>01835 - 01970</v>
      </c>
      <c r="AF23" s="95">
        <f>SamplingData[[#This Row],[Upper Range]]-SamplingData[[#This Row],[Span]]</f>
        <v>1835.2972934590521</v>
      </c>
      <c r="AG23" s="95">
        <f>IF(ISNUMBER('General Info'!$B$42), ((SamplingData[[#This Row],[up/U Selection Probability]]) * 'General Info'!$B$44) - 1, 0)</f>
        <v>134.96071161323411</v>
      </c>
      <c r="AH23" s="95">
        <f>IF(ISNUMBER('General Info'!$B$42), (SamplingData[[#This Row],[Running (cumulative) sum]] * ('General Info'!$B$42 -'General Info'!$B$43 + 1)) + 'General Info'!$B$43 - 1, 0)</f>
        <v>1970.2580050722861</v>
      </c>
      <c r="AI23" s="95" t="str">
        <f>IF(ISERROR(MATCH(SamplingData[[#This Row],[Batch by Type (p)]],SelectedPrecincts[Batch Name], 0)), "", INDEX(SelectedPrecincts[Draw], MATCH(SamplingData[[#This Row],[Batch by Type (p)]],SelectedPrecincts[Batch Name], 0)))</f>
        <v/>
      </c>
      <c r="AJ23" s="96">
        <f>IF(COUNTIF(SelectedPrecincts[Batch Name],SamplingData[[#This Row],[Batch by Type (p)]]) &lt;&gt; 0, COUNTIF(SelectedPrecincts[Batch Name],SamplingData[[#This Row],[Batch by Type (p)]]), 0)</f>
        <v>0</v>
      </c>
    </row>
    <row r="24" spans="1:36" ht="15" customHeight="1" x14ac:dyDescent="0.35">
      <c r="A24" s="98" t="s">
        <v>235</v>
      </c>
      <c r="B24" s="98">
        <v>51</v>
      </c>
      <c r="C24" s="98">
        <v>11</v>
      </c>
      <c r="D24" s="93">
        <v>11</v>
      </c>
      <c r="E24" s="93"/>
      <c r="F24" s="93"/>
      <c r="G24" s="97"/>
      <c r="H24" s="97"/>
      <c r="I24" s="93"/>
      <c r="J24" s="93"/>
      <c r="K24" s="93"/>
      <c r="L24" s="93"/>
      <c r="M24" s="93"/>
      <c r="N24" s="98">
        <v>0</v>
      </c>
      <c r="O24" s="98">
        <v>6</v>
      </c>
      <c r="P24" s="94">
        <f>SUM(SamplingData[[#This Row],[Winning Candidate]:[Under Votes]])</f>
        <v>79</v>
      </c>
      <c r="Q24" s="95">
        <f>IF(AND(SamplingData[[#This Row],[Total]]&lt;&gt; 0, NOT(ISBLANK(SamplingData[[#This Row],[Losing Candidate]]))),(SamplingData[[#This Row],[Total]]+SamplingData[[#This Row],[Winning Candidate]]-SamplingData[[#This Row],[Losing Candidate]])/(SamplingData[[#Totals],[Winning Candidate]]-SamplingData[[#Totals],[Losing Candidate]]), 0)</f>
        <v>7.5216484419442517E-3</v>
      </c>
      <c r="R24" s="95">
        <f>IF(AND(SamplingData[[#This Row],[Total]]&lt;&gt; 0, NOT(ISBLANK(SamplingData[[#This Row],[Candidate 3]]))),(SamplingData[[#This Row],[Total]]+SamplingData[[#This Row],[Winning Candidate]]-SamplingData[[#This Row],[Candidate 3]])/(SamplingData[[#Totals],[Winning Candidate]]-SamplingData[[#Totals],[Candidate 3]]), 0)</f>
        <v>6.7170918943328063E-3</v>
      </c>
      <c r="S24" s="95">
        <f>IF(AND(SamplingData[[#This Row],[Total]]&lt;&gt; 0, NOT(ISBLANK(SamplingData[[#This Row],[Candidate 4]]))),(SamplingData[[#This Row],[Total]]+SamplingData[[#This Row],[Winning Candidate]]-SamplingData[[#This Row],[Candidate 4]])/(SamplingData[[#Totals],[Winning Candidate]]-SamplingData[[#Totals],[Candidate 4]]), 0)</f>
        <v>0</v>
      </c>
      <c r="T24" s="95">
        <f>IF(AND(SamplingData[[#This Row],[Total]]&lt;&gt; 0, NOT(ISBLANK(SamplingData[[#This Row],[Candidate 5]]))),(SamplingData[[#This Row],[Total]]+SamplingData[[#This Row],[Winning Candidate]]-SamplingData[[#This Row],[Candidate 5]])/(SamplingData[[#Totals],[Winning Candidate]]-SamplingData[[#Totals],[Candidate 5]]), 0)</f>
        <v>0</v>
      </c>
      <c r="U24" s="95">
        <f>IF(AND(SamplingData[[#This Row],[Total]]&lt;&gt; 0, NOT(ISBLANK(SamplingData[[#This Row],[Candidate 6]]))),(SamplingData[[#This Row],[Total]]+SamplingData[[#This Row],[Losing Candidate]]-SamplingData[[#This Row],[Candidate 6]])/(SamplingData[[#Totals],[Winning Candidate]]-SamplingData[[#Totals],[Candidate 6]]), 0)</f>
        <v>0</v>
      </c>
      <c r="V24" s="95">
        <f>IF(AND(SamplingData[[#This Row],[Total]]&lt;&gt; 0, NOT(ISBLANK(SamplingData[[#This Row],[Candidate 7]]))),(SamplingData[[#This Row],[Total]]+SamplingData[[#This Row],[Winning Candidate]]-SamplingData[[#This Row],[Candidate 7]])/(SamplingData[[#Totals],[Winning Candidate]]-SamplingData[[#Totals],[Candidate 7]]), 0)</f>
        <v>0</v>
      </c>
      <c r="W24" s="95">
        <f>IF(AND(SamplingData[[#This Row],[Total]]&lt;&gt; 0, NOT(ISBLANK(SamplingData[[#This Row],[Candidate 8]]))),(SamplingData[[#This Row],[Total]]+SamplingData[[#This Row],[Winning Candidate]]-SamplingData[[#This Row],[Candidate 8]])/(SamplingData[[#Totals],[Winning Candidate]]-SamplingData[[#Totals],[Candidate 8]]), 0)</f>
        <v>0</v>
      </c>
      <c r="X24"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 s="95">
        <f>MAX(SamplingData[[#This Row],[Error Bound (up) - Max. possible relative overstatement - Losing Candidate]:[Error Bound (up) - Max. possible relative overstatement - Candidate 12]])</f>
        <v>7.5216484419442517E-3</v>
      </c>
      <c r="AC24" s="95">
        <f>IF(SamplingData[[#This Row],[Max Error Bound (up)]] = 0,0,SamplingData[[#This Row],[Max Error Bound (up)]]/SamplingData[[#Totals],[Max Error Bound (up)]])</f>
        <v>3.0527027701839357E-3</v>
      </c>
      <c r="AD24" s="18">
        <f>SUM($AC$5:AC24)</f>
        <v>2.2765282820906795E-2</v>
      </c>
      <c r="AE24" s="95" t="str">
        <f t="array" ref="AE24">IF(SamplingData[[#This Row],[up/U Selection Probability]] = 0, "Zero", TEXT(SamplingData[[#This Row],[Lower Range]], REPT("0",LEN('General Info'!$B$42))) &amp; " - " &amp; TEXT(SamplingData[[#This Row],[Upper Range]], REPT("0",LEN('General Info'!$B$42))))</f>
        <v>01971 - 02276</v>
      </c>
      <c r="AF24" s="95">
        <f>SamplingData[[#This Row],[Upper Range]]-SamplingData[[#This Row],[Span]]</f>
        <v>1971.2580050722859</v>
      </c>
      <c r="AG24" s="95">
        <f>IF(ISNUMBER('General Info'!$B$42), ((SamplingData[[#This Row],[up/U Selection Probability]]) * 'General Info'!$B$44) - 1, 0)</f>
        <v>304.27027701839359</v>
      </c>
      <c r="AH24" s="95">
        <f>IF(ISNUMBER('General Info'!$B$42), (SamplingData[[#This Row],[Running (cumulative) sum]] * ('General Info'!$B$42 -'General Info'!$B$43 + 1)) + 'General Info'!$B$43 - 1, 0)</f>
        <v>2275.5282820906796</v>
      </c>
      <c r="AI24" s="95" t="str">
        <f>IF(ISERROR(MATCH(SamplingData[[#This Row],[Batch by Type (p)]],SelectedPrecincts[Batch Name], 0)), "", INDEX(SelectedPrecincts[Draw], MATCH(SamplingData[[#This Row],[Batch by Type (p)]],SelectedPrecincts[Batch Name], 0)))</f>
        <v/>
      </c>
      <c r="AJ24" s="96">
        <f>IF(COUNTIF(SelectedPrecincts[Batch Name],SamplingData[[#This Row],[Batch by Type (p)]]) &lt;&gt; 0, COUNTIF(SelectedPrecincts[Batch Name],SamplingData[[#This Row],[Batch by Type (p)]]), 0)</f>
        <v>0</v>
      </c>
    </row>
    <row r="25" spans="1:36" ht="15" customHeight="1" x14ac:dyDescent="0.35">
      <c r="A25" s="98" t="s">
        <v>236</v>
      </c>
      <c r="B25" s="98">
        <v>6</v>
      </c>
      <c r="C25" s="98">
        <v>0</v>
      </c>
      <c r="D25" s="93">
        <v>0</v>
      </c>
      <c r="E25" s="93"/>
      <c r="F25" s="93"/>
      <c r="G25" s="97"/>
      <c r="H25" s="97"/>
      <c r="I25" s="93"/>
      <c r="J25" s="93"/>
      <c r="K25" s="93"/>
      <c r="L25" s="93"/>
      <c r="M25" s="93"/>
      <c r="N25" s="98">
        <v>0</v>
      </c>
      <c r="O25" s="98">
        <v>0</v>
      </c>
      <c r="P25" s="94">
        <f>SUM(SamplingData[[#This Row],[Winning Candidate]:[Under Votes]])</f>
        <v>6</v>
      </c>
      <c r="Q25" s="95">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25" s="95">
        <f>IF(AND(SamplingData[[#This Row],[Total]]&lt;&gt; 0, NOT(ISBLANK(SamplingData[[#This Row],[Candidate 3]]))),(SamplingData[[#This Row],[Total]]+SamplingData[[#This Row],[Winning Candidate]]-SamplingData[[#This Row],[Candidate 3]])/(SamplingData[[#Totals],[Winning Candidate]]-SamplingData[[#Totals],[Candidate 3]]), 0)</f>
        <v>6.7735380447053511E-4</v>
      </c>
      <c r="S25" s="95">
        <f>IF(AND(SamplingData[[#This Row],[Total]]&lt;&gt; 0, NOT(ISBLANK(SamplingData[[#This Row],[Candidate 4]]))),(SamplingData[[#This Row],[Total]]+SamplingData[[#This Row],[Winning Candidate]]-SamplingData[[#This Row],[Candidate 4]])/(SamplingData[[#Totals],[Winning Candidate]]-SamplingData[[#Totals],[Candidate 4]]), 0)</f>
        <v>0</v>
      </c>
      <c r="T25" s="95">
        <f>IF(AND(SamplingData[[#This Row],[Total]]&lt;&gt; 0, NOT(ISBLANK(SamplingData[[#This Row],[Candidate 5]]))),(SamplingData[[#This Row],[Total]]+SamplingData[[#This Row],[Winning Candidate]]-SamplingData[[#This Row],[Candidate 5]])/(SamplingData[[#Totals],[Winning Candidate]]-SamplingData[[#Totals],[Candidate 5]]), 0)</f>
        <v>0</v>
      </c>
      <c r="U25" s="95">
        <f>IF(AND(SamplingData[[#This Row],[Total]]&lt;&gt; 0, NOT(ISBLANK(SamplingData[[#This Row],[Candidate 6]]))),(SamplingData[[#This Row],[Total]]+SamplingData[[#This Row],[Losing Candidate]]-SamplingData[[#This Row],[Candidate 6]])/(SamplingData[[#Totals],[Winning Candidate]]-SamplingData[[#Totals],[Candidate 6]]), 0)</f>
        <v>0</v>
      </c>
      <c r="V25" s="95">
        <f>IF(AND(SamplingData[[#This Row],[Total]]&lt;&gt; 0, NOT(ISBLANK(SamplingData[[#This Row],[Candidate 7]]))),(SamplingData[[#This Row],[Total]]+SamplingData[[#This Row],[Winning Candidate]]-SamplingData[[#This Row],[Candidate 7]])/(SamplingData[[#Totals],[Winning Candidate]]-SamplingData[[#Totals],[Candidate 7]]), 0)</f>
        <v>0</v>
      </c>
      <c r="W25" s="95">
        <f>IF(AND(SamplingData[[#This Row],[Total]]&lt;&gt; 0, NOT(ISBLANK(SamplingData[[#This Row],[Candidate 8]]))),(SamplingData[[#This Row],[Total]]+SamplingData[[#This Row],[Winning Candidate]]-SamplingData[[#This Row],[Candidate 8]])/(SamplingData[[#Totals],[Winning Candidate]]-SamplingData[[#Totals],[Candidate 8]]), 0)</f>
        <v>0</v>
      </c>
      <c r="X2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 s="95">
        <f>MAX(SamplingData[[#This Row],[Error Bound (up) - Max. possible relative overstatement - Losing Candidate]:[Error Bound (up) - Max. possible relative overstatement - Candidate 12]])</f>
        <v>7.5848555717084889E-4</v>
      </c>
      <c r="AC25" s="95">
        <f>IF(SamplingData[[#This Row],[Max Error Bound (up)]] = 0,0,SamplingData[[#This Row],[Max Error Bound (up)]]/SamplingData[[#Totals],[Max Error Bound (up)]])</f>
        <v>3.0783557346392626E-4</v>
      </c>
      <c r="AD25" s="18">
        <f>SUM($AC$5:AC25)</f>
        <v>2.307311839437072E-2</v>
      </c>
      <c r="AE25" s="95" t="str">
        <f t="array" ref="AE25">IF(SamplingData[[#This Row],[up/U Selection Probability]] = 0, "Zero", TEXT(SamplingData[[#This Row],[Lower Range]], REPT("0",LEN('General Info'!$B$42))) &amp; " - " &amp; TEXT(SamplingData[[#This Row],[Upper Range]], REPT("0",LEN('General Info'!$B$42))))</f>
        <v>02277 - 02306</v>
      </c>
      <c r="AF25" s="95">
        <f>SamplingData[[#This Row],[Upper Range]]-SamplingData[[#This Row],[Span]]</f>
        <v>2276.5282820906796</v>
      </c>
      <c r="AG25" s="95">
        <f>IF(ISNUMBER('General Info'!$B$42), ((SamplingData[[#This Row],[up/U Selection Probability]]) * 'General Info'!$B$44) - 1, 0)</f>
        <v>29.783557346392627</v>
      </c>
      <c r="AH25" s="95">
        <f>IF(ISNUMBER('General Info'!$B$42), (SamplingData[[#This Row],[Running (cumulative) sum]] * ('General Info'!$B$42 -'General Info'!$B$43 + 1)) + 'General Info'!$B$43 - 1, 0)</f>
        <v>2306.3118394370722</v>
      </c>
      <c r="AI25" s="95" t="str">
        <f>IF(ISERROR(MATCH(SamplingData[[#This Row],[Batch by Type (p)]],SelectedPrecincts[Batch Name], 0)), "", INDEX(SelectedPrecincts[Draw], MATCH(SamplingData[[#This Row],[Batch by Type (p)]],SelectedPrecincts[Batch Name], 0)))</f>
        <v/>
      </c>
      <c r="AJ25" s="96">
        <f>IF(COUNTIF(SelectedPrecincts[Batch Name],SamplingData[[#This Row],[Batch by Type (p)]]) &lt;&gt; 0, COUNTIF(SelectedPrecincts[Batch Name],SamplingData[[#This Row],[Batch by Type (p)]]), 0)</f>
        <v>0</v>
      </c>
    </row>
    <row r="26" spans="1:36" ht="15" customHeight="1" x14ac:dyDescent="0.35">
      <c r="A26" s="98" t="s">
        <v>237</v>
      </c>
      <c r="B26" s="98">
        <v>16</v>
      </c>
      <c r="C26" s="98">
        <v>3</v>
      </c>
      <c r="D26" s="93">
        <v>1</v>
      </c>
      <c r="E26" s="93"/>
      <c r="F26" s="93"/>
      <c r="G26" s="97"/>
      <c r="H26" s="97"/>
      <c r="I26" s="93"/>
      <c r="J26" s="93"/>
      <c r="K26" s="93"/>
      <c r="L26" s="93"/>
      <c r="M26" s="93"/>
      <c r="N26" s="98">
        <v>0</v>
      </c>
      <c r="O26" s="98">
        <v>0</v>
      </c>
      <c r="P26" s="94">
        <f>SUM(SamplingData[[#This Row],[Winning Candidate]:[Under Votes]])</f>
        <v>20</v>
      </c>
      <c r="Q26" s="95">
        <f>IF(AND(SamplingData[[#This Row],[Total]]&lt;&gt; 0, NOT(ISBLANK(SamplingData[[#This Row],[Losing Candidate]]))),(SamplingData[[#This Row],[Total]]+SamplingData[[#This Row],[Winning Candidate]]-SamplingData[[#This Row],[Losing Candidate]])/(SamplingData[[#Totals],[Winning Candidate]]-SamplingData[[#Totals],[Losing Candidate]]), 0)</f>
        <v>2.0858352822198346E-3</v>
      </c>
      <c r="R26" s="95">
        <f>IF(AND(SamplingData[[#This Row],[Total]]&lt;&gt; 0, NOT(ISBLANK(SamplingData[[#This Row],[Candidate 3]]))),(SamplingData[[#This Row],[Total]]+SamplingData[[#This Row],[Winning Candidate]]-SamplingData[[#This Row],[Candidate 3]])/(SamplingData[[#Totals],[Winning Candidate]]-SamplingData[[#Totals],[Candidate 3]]), 0)</f>
        <v>1.9756152630390606E-3</v>
      </c>
      <c r="S26" s="95">
        <f>IF(AND(SamplingData[[#This Row],[Total]]&lt;&gt; 0, NOT(ISBLANK(SamplingData[[#This Row],[Candidate 4]]))),(SamplingData[[#This Row],[Total]]+SamplingData[[#This Row],[Winning Candidate]]-SamplingData[[#This Row],[Candidate 4]])/(SamplingData[[#Totals],[Winning Candidate]]-SamplingData[[#Totals],[Candidate 4]]), 0)</f>
        <v>0</v>
      </c>
      <c r="T26" s="95">
        <f>IF(AND(SamplingData[[#This Row],[Total]]&lt;&gt; 0, NOT(ISBLANK(SamplingData[[#This Row],[Candidate 5]]))),(SamplingData[[#This Row],[Total]]+SamplingData[[#This Row],[Winning Candidate]]-SamplingData[[#This Row],[Candidate 5]])/(SamplingData[[#Totals],[Winning Candidate]]-SamplingData[[#Totals],[Candidate 5]]), 0)</f>
        <v>0</v>
      </c>
      <c r="U26" s="95">
        <f>IF(AND(SamplingData[[#This Row],[Total]]&lt;&gt; 0, NOT(ISBLANK(SamplingData[[#This Row],[Candidate 6]]))),(SamplingData[[#This Row],[Total]]+SamplingData[[#This Row],[Losing Candidate]]-SamplingData[[#This Row],[Candidate 6]])/(SamplingData[[#Totals],[Winning Candidate]]-SamplingData[[#Totals],[Candidate 6]]), 0)</f>
        <v>0</v>
      </c>
      <c r="V26" s="95">
        <f>IF(AND(SamplingData[[#This Row],[Total]]&lt;&gt; 0, NOT(ISBLANK(SamplingData[[#This Row],[Candidate 7]]))),(SamplingData[[#This Row],[Total]]+SamplingData[[#This Row],[Winning Candidate]]-SamplingData[[#This Row],[Candidate 7]])/(SamplingData[[#Totals],[Winning Candidate]]-SamplingData[[#Totals],[Candidate 7]]), 0)</f>
        <v>0</v>
      </c>
      <c r="W26" s="95">
        <f>IF(AND(SamplingData[[#This Row],[Total]]&lt;&gt; 0, NOT(ISBLANK(SamplingData[[#This Row],[Candidate 8]]))),(SamplingData[[#This Row],[Total]]+SamplingData[[#This Row],[Winning Candidate]]-SamplingData[[#This Row],[Candidate 8]])/(SamplingData[[#Totals],[Winning Candidate]]-SamplingData[[#Totals],[Candidate 8]]), 0)</f>
        <v>0</v>
      </c>
      <c r="X2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 s="95">
        <f>MAX(SamplingData[[#This Row],[Error Bound (up) - Max. possible relative overstatement - Losing Candidate]:[Error Bound (up) - Max. possible relative overstatement - Candidate 12]])</f>
        <v>2.0858352822198346E-3</v>
      </c>
      <c r="AC26" s="95">
        <f>IF(SamplingData[[#This Row],[Max Error Bound (up)]] = 0,0,SamplingData[[#This Row],[Max Error Bound (up)]]/SamplingData[[#Totals],[Max Error Bound (up)]])</f>
        <v>8.4654782702579736E-4</v>
      </c>
      <c r="AD26" s="18">
        <f>SUM($AC$5:AC26)</f>
        <v>2.3919666221396518E-2</v>
      </c>
      <c r="AE26" s="95" t="str">
        <f t="array" ref="AE26">IF(SamplingData[[#This Row],[up/U Selection Probability]] = 0, "Zero", TEXT(SamplingData[[#This Row],[Lower Range]], REPT("0",LEN('General Info'!$B$42))) &amp; " - " &amp; TEXT(SamplingData[[#This Row],[Upper Range]], REPT("0",LEN('General Info'!$B$42))))</f>
        <v>02307 - 02391</v>
      </c>
      <c r="AF26" s="95">
        <f>SamplingData[[#This Row],[Upper Range]]-SamplingData[[#This Row],[Span]]</f>
        <v>2307.3118394370722</v>
      </c>
      <c r="AG26" s="95">
        <f>IF(ISNUMBER('General Info'!$B$42), ((SamplingData[[#This Row],[up/U Selection Probability]]) * 'General Info'!$B$44) - 1, 0)</f>
        <v>83.654782702579737</v>
      </c>
      <c r="AH26" s="95">
        <f>IF(ISNUMBER('General Info'!$B$42), (SamplingData[[#This Row],[Running (cumulative) sum]] * ('General Info'!$B$42 -'General Info'!$B$43 + 1)) + 'General Info'!$B$43 - 1, 0)</f>
        <v>2390.9666221396519</v>
      </c>
      <c r="AI26" s="95" t="str">
        <f>IF(ISERROR(MATCH(SamplingData[[#This Row],[Batch by Type (p)]],SelectedPrecincts[Batch Name], 0)), "", INDEX(SelectedPrecincts[Draw], MATCH(SamplingData[[#This Row],[Batch by Type (p)]],SelectedPrecincts[Batch Name], 0)))</f>
        <v/>
      </c>
      <c r="AJ26" s="96">
        <f>IF(COUNTIF(SelectedPrecincts[Batch Name],SamplingData[[#This Row],[Batch by Type (p)]]) &lt;&gt; 0, COUNTIF(SelectedPrecincts[Batch Name],SamplingData[[#This Row],[Batch by Type (p)]]), 0)</f>
        <v>0</v>
      </c>
    </row>
    <row r="27" spans="1:36" ht="15" customHeight="1" x14ac:dyDescent="0.35">
      <c r="A27" s="98" t="s">
        <v>238</v>
      </c>
      <c r="B27" s="98">
        <v>18</v>
      </c>
      <c r="C27" s="98">
        <v>1</v>
      </c>
      <c r="D27" s="93">
        <v>0</v>
      </c>
      <c r="E27" s="93"/>
      <c r="F27" s="93"/>
      <c r="G27" s="97"/>
      <c r="H27" s="97"/>
      <c r="I27" s="93"/>
      <c r="J27" s="93"/>
      <c r="K27" s="93"/>
      <c r="L27" s="93"/>
      <c r="M27" s="93"/>
      <c r="N27" s="98">
        <v>0</v>
      </c>
      <c r="O27" s="98">
        <v>0</v>
      </c>
      <c r="P27" s="94">
        <f>SUM(SamplingData[[#This Row],[Winning Candidate]:[Under Votes]])</f>
        <v>19</v>
      </c>
      <c r="Q27" s="95">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27" s="95">
        <f>IF(AND(SamplingData[[#This Row],[Total]]&lt;&gt; 0, NOT(ISBLANK(SamplingData[[#This Row],[Candidate 3]]))),(SamplingData[[#This Row],[Total]]+SamplingData[[#This Row],[Winning Candidate]]-SamplingData[[#This Row],[Candidate 3]])/(SamplingData[[#Totals],[Winning Candidate]]-SamplingData[[#Totals],[Candidate 3]]), 0)</f>
        <v>2.0885075637841499E-3</v>
      </c>
      <c r="S27" s="95">
        <f>IF(AND(SamplingData[[#This Row],[Total]]&lt;&gt; 0, NOT(ISBLANK(SamplingData[[#This Row],[Candidate 4]]))),(SamplingData[[#This Row],[Total]]+SamplingData[[#This Row],[Winning Candidate]]-SamplingData[[#This Row],[Candidate 4]])/(SamplingData[[#Totals],[Winning Candidate]]-SamplingData[[#Totals],[Candidate 4]]), 0)</f>
        <v>0</v>
      </c>
      <c r="T27" s="95">
        <f>IF(AND(SamplingData[[#This Row],[Total]]&lt;&gt; 0, NOT(ISBLANK(SamplingData[[#This Row],[Candidate 5]]))),(SamplingData[[#This Row],[Total]]+SamplingData[[#This Row],[Winning Candidate]]-SamplingData[[#This Row],[Candidate 5]])/(SamplingData[[#Totals],[Winning Candidate]]-SamplingData[[#Totals],[Candidate 5]]), 0)</f>
        <v>0</v>
      </c>
      <c r="U27" s="95">
        <f>IF(AND(SamplingData[[#This Row],[Total]]&lt;&gt; 0, NOT(ISBLANK(SamplingData[[#This Row],[Candidate 6]]))),(SamplingData[[#This Row],[Total]]+SamplingData[[#This Row],[Losing Candidate]]-SamplingData[[#This Row],[Candidate 6]])/(SamplingData[[#Totals],[Winning Candidate]]-SamplingData[[#Totals],[Candidate 6]]), 0)</f>
        <v>0</v>
      </c>
      <c r="V27" s="95">
        <f>IF(AND(SamplingData[[#This Row],[Total]]&lt;&gt; 0, NOT(ISBLANK(SamplingData[[#This Row],[Candidate 7]]))),(SamplingData[[#This Row],[Total]]+SamplingData[[#This Row],[Winning Candidate]]-SamplingData[[#This Row],[Candidate 7]])/(SamplingData[[#Totals],[Winning Candidate]]-SamplingData[[#Totals],[Candidate 7]]), 0)</f>
        <v>0</v>
      </c>
      <c r="W27" s="95">
        <f>IF(AND(SamplingData[[#This Row],[Total]]&lt;&gt; 0, NOT(ISBLANK(SamplingData[[#This Row],[Candidate 8]]))),(SamplingData[[#This Row],[Total]]+SamplingData[[#This Row],[Winning Candidate]]-SamplingData[[#This Row],[Candidate 8]])/(SamplingData[[#Totals],[Winning Candidate]]-SamplingData[[#Totals],[Candidate 8]]), 0)</f>
        <v>0</v>
      </c>
      <c r="X2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 s="95">
        <f>MAX(SamplingData[[#This Row],[Error Bound (up) - Max. possible relative overstatement - Losing Candidate]:[Error Bound (up) - Max. possible relative overstatement - Candidate 12]])</f>
        <v>2.2754566715125464E-3</v>
      </c>
      <c r="AC27" s="95">
        <f>IF(SamplingData[[#This Row],[Max Error Bound (up)]] = 0,0,SamplingData[[#This Row],[Max Error Bound (up)]]/SamplingData[[#Totals],[Max Error Bound (up)]])</f>
        <v>9.2350672039177872E-4</v>
      </c>
      <c r="AD27" s="18">
        <f>SUM($AC$5:AC27)</f>
        <v>2.4843172941788297E-2</v>
      </c>
      <c r="AE27" s="95" t="str">
        <f t="array" ref="AE27">IF(SamplingData[[#This Row],[up/U Selection Probability]] = 0, "Zero", TEXT(SamplingData[[#This Row],[Lower Range]], REPT("0",LEN('General Info'!$B$42))) &amp; " - " &amp; TEXT(SamplingData[[#This Row],[Upper Range]], REPT("0",LEN('General Info'!$B$42))))</f>
        <v>02392 - 02483</v>
      </c>
      <c r="AF27" s="95">
        <f>SamplingData[[#This Row],[Upper Range]]-SamplingData[[#This Row],[Span]]</f>
        <v>2391.9666221396519</v>
      </c>
      <c r="AG27" s="95">
        <f>IF(ISNUMBER('General Info'!$B$42), ((SamplingData[[#This Row],[up/U Selection Probability]]) * 'General Info'!$B$44) - 1, 0)</f>
        <v>91.350672039177866</v>
      </c>
      <c r="AH27" s="95">
        <f>IF(ISNUMBER('General Info'!$B$42), (SamplingData[[#This Row],[Running (cumulative) sum]] * ('General Info'!$B$42 -'General Info'!$B$43 + 1)) + 'General Info'!$B$43 - 1, 0)</f>
        <v>2483.3172941788298</v>
      </c>
      <c r="AI27" s="95" t="str">
        <f>IF(ISERROR(MATCH(SamplingData[[#This Row],[Batch by Type (p)]],SelectedPrecincts[Batch Name], 0)), "", INDEX(SelectedPrecincts[Draw], MATCH(SamplingData[[#This Row],[Batch by Type (p)]],SelectedPrecincts[Batch Name], 0)))</f>
        <v/>
      </c>
      <c r="AJ27" s="96">
        <f>IF(COUNTIF(SelectedPrecincts[Batch Name],SamplingData[[#This Row],[Batch by Type (p)]]) &lt;&gt; 0, COUNTIF(SelectedPrecincts[Batch Name],SamplingData[[#This Row],[Batch by Type (p)]]), 0)</f>
        <v>0</v>
      </c>
    </row>
    <row r="28" spans="1:36" ht="15" customHeight="1" x14ac:dyDescent="0.35">
      <c r="A28" s="98" t="s">
        <v>239</v>
      </c>
      <c r="B28" s="98">
        <v>40</v>
      </c>
      <c r="C28" s="98">
        <v>5</v>
      </c>
      <c r="D28" s="93">
        <v>3</v>
      </c>
      <c r="E28" s="93"/>
      <c r="F28" s="93"/>
      <c r="G28" s="97"/>
      <c r="H28" s="97"/>
      <c r="I28" s="93"/>
      <c r="J28" s="93"/>
      <c r="K28" s="93"/>
      <c r="L28" s="93"/>
      <c r="M28" s="93"/>
      <c r="N28" s="98">
        <v>0</v>
      </c>
      <c r="O28" s="98">
        <v>1</v>
      </c>
      <c r="P28" s="94">
        <f>SUM(SamplingData[[#This Row],[Winning Candidate]:[Under Votes]])</f>
        <v>49</v>
      </c>
      <c r="Q28" s="95">
        <f>IF(AND(SamplingData[[#This Row],[Total]]&lt;&gt; 0, NOT(ISBLANK(SamplingData[[#This Row],[Losing Candidate]]))),(SamplingData[[#This Row],[Total]]+SamplingData[[#This Row],[Winning Candidate]]-SamplingData[[#This Row],[Losing Candidate]])/(SamplingData[[#Totals],[Winning Candidate]]-SamplingData[[#Totals],[Losing Candidate]]), 0)</f>
        <v>5.309398900195942E-3</v>
      </c>
      <c r="R28" s="95">
        <f>IF(AND(SamplingData[[#This Row],[Total]]&lt;&gt; 0, NOT(ISBLANK(SamplingData[[#This Row],[Candidate 3]]))),(SamplingData[[#This Row],[Total]]+SamplingData[[#This Row],[Winning Candidate]]-SamplingData[[#This Row],[Candidate 3]])/(SamplingData[[#Totals],[Winning Candidate]]-SamplingData[[#Totals],[Candidate 3]]), 0)</f>
        <v>4.8543689320388345E-3</v>
      </c>
      <c r="S28" s="95">
        <f>IF(AND(SamplingData[[#This Row],[Total]]&lt;&gt; 0, NOT(ISBLANK(SamplingData[[#This Row],[Candidate 4]]))),(SamplingData[[#This Row],[Total]]+SamplingData[[#This Row],[Winning Candidate]]-SamplingData[[#This Row],[Candidate 4]])/(SamplingData[[#Totals],[Winning Candidate]]-SamplingData[[#Totals],[Candidate 4]]), 0)</f>
        <v>0</v>
      </c>
      <c r="T28" s="95">
        <f>IF(AND(SamplingData[[#This Row],[Total]]&lt;&gt; 0, NOT(ISBLANK(SamplingData[[#This Row],[Candidate 5]]))),(SamplingData[[#This Row],[Total]]+SamplingData[[#This Row],[Winning Candidate]]-SamplingData[[#This Row],[Candidate 5]])/(SamplingData[[#Totals],[Winning Candidate]]-SamplingData[[#Totals],[Candidate 5]]), 0)</f>
        <v>0</v>
      </c>
      <c r="U28" s="95">
        <f>IF(AND(SamplingData[[#This Row],[Total]]&lt;&gt; 0, NOT(ISBLANK(SamplingData[[#This Row],[Candidate 6]]))),(SamplingData[[#This Row],[Total]]+SamplingData[[#This Row],[Losing Candidate]]-SamplingData[[#This Row],[Candidate 6]])/(SamplingData[[#Totals],[Winning Candidate]]-SamplingData[[#Totals],[Candidate 6]]), 0)</f>
        <v>0</v>
      </c>
      <c r="V28" s="95">
        <f>IF(AND(SamplingData[[#This Row],[Total]]&lt;&gt; 0, NOT(ISBLANK(SamplingData[[#This Row],[Candidate 7]]))),(SamplingData[[#This Row],[Total]]+SamplingData[[#This Row],[Winning Candidate]]-SamplingData[[#This Row],[Candidate 7]])/(SamplingData[[#Totals],[Winning Candidate]]-SamplingData[[#Totals],[Candidate 7]]), 0)</f>
        <v>0</v>
      </c>
      <c r="W28" s="95">
        <f>IF(AND(SamplingData[[#This Row],[Total]]&lt;&gt; 0, NOT(ISBLANK(SamplingData[[#This Row],[Candidate 8]]))),(SamplingData[[#This Row],[Total]]+SamplingData[[#This Row],[Winning Candidate]]-SamplingData[[#This Row],[Candidate 8]])/(SamplingData[[#Totals],[Winning Candidate]]-SamplingData[[#Totals],[Candidate 8]]), 0)</f>
        <v>0</v>
      </c>
      <c r="X2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 s="95">
        <f>MAX(SamplingData[[#This Row],[Error Bound (up) - Max. possible relative overstatement - Losing Candidate]:[Error Bound (up) - Max. possible relative overstatement - Candidate 12]])</f>
        <v>5.309398900195942E-3</v>
      </c>
      <c r="AC28" s="95">
        <f>IF(SamplingData[[#This Row],[Max Error Bound (up)]] = 0,0,SamplingData[[#This Row],[Max Error Bound (up)]]/SamplingData[[#Totals],[Max Error Bound (up)]])</f>
        <v>2.1548490142474837E-3</v>
      </c>
      <c r="AD28" s="18">
        <f>SUM($AC$5:AC28)</f>
        <v>2.6998021956035782E-2</v>
      </c>
      <c r="AE28" s="95" t="str">
        <f t="array" ref="AE28">IF(SamplingData[[#This Row],[up/U Selection Probability]] = 0, "Zero", TEXT(SamplingData[[#This Row],[Lower Range]], REPT("0",LEN('General Info'!$B$42))) &amp; " - " &amp; TEXT(SamplingData[[#This Row],[Upper Range]], REPT("0",LEN('General Info'!$B$42))))</f>
        <v>02484 - 02699</v>
      </c>
      <c r="AF28" s="95">
        <f>SamplingData[[#This Row],[Upper Range]]-SamplingData[[#This Row],[Span]]</f>
        <v>2484.3172941788298</v>
      </c>
      <c r="AG28" s="95">
        <f>IF(ISNUMBER('General Info'!$B$42), ((SamplingData[[#This Row],[up/U Selection Probability]]) * 'General Info'!$B$44) - 1, 0)</f>
        <v>214.48490142474839</v>
      </c>
      <c r="AH28" s="95">
        <f>IF(ISNUMBER('General Info'!$B$42), (SamplingData[[#This Row],[Running (cumulative) sum]] * ('General Info'!$B$42 -'General Info'!$B$43 + 1)) + 'General Info'!$B$43 - 1, 0)</f>
        <v>2698.8021956035782</v>
      </c>
      <c r="AI28" s="95">
        <f>IF(ISERROR(MATCH(SamplingData[[#This Row],[Batch by Type (p)]],SelectedPrecincts[Batch Name], 0)), "", INDEX(SelectedPrecincts[Draw], MATCH(SamplingData[[#This Row],[Batch by Type (p)]],SelectedPrecincts[Batch Name], 0)))</f>
        <v>1</v>
      </c>
      <c r="AJ28" s="96">
        <f>IF(COUNTIF(SelectedPrecincts[Batch Name],SamplingData[[#This Row],[Batch by Type (p)]]) &lt;&gt; 0, COUNTIF(SelectedPrecincts[Batch Name],SamplingData[[#This Row],[Batch by Type (p)]]), 0)</f>
        <v>1</v>
      </c>
    </row>
    <row r="29" spans="1:36" ht="15" customHeight="1" x14ac:dyDescent="0.35">
      <c r="A29" s="98" t="s">
        <v>240</v>
      </c>
      <c r="B29" s="98">
        <v>21</v>
      </c>
      <c r="C29" s="98">
        <v>0</v>
      </c>
      <c r="D29" s="93">
        <v>0</v>
      </c>
      <c r="E29" s="93"/>
      <c r="F29" s="93"/>
      <c r="G29" s="97"/>
      <c r="H29" s="97"/>
      <c r="I29" s="93"/>
      <c r="J29" s="93"/>
      <c r="K29" s="93"/>
      <c r="L29" s="93"/>
      <c r="M29" s="93"/>
      <c r="N29" s="98">
        <v>0</v>
      </c>
      <c r="O29" s="98">
        <v>1</v>
      </c>
      <c r="P29" s="94">
        <f>SUM(SamplingData[[#This Row],[Winning Candidate]:[Under Votes]])</f>
        <v>22</v>
      </c>
      <c r="Q29" s="95">
        <f>IF(AND(SamplingData[[#This Row],[Total]]&lt;&gt; 0, NOT(ISBLANK(SamplingData[[#This Row],[Losing Candidate]]))),(SamplingData[[#This Row],[Total]]+SamplingData[[#This Row],[Winning Candidate]]-SamplingData[[#This Row],[Losing Candidate]])/(SamplingData[[#Totals],[Winning Candidate]]-SamplingData[[#Totals],[Losing Candidate]]), 0)</f>
        <v>2.7179065798622086E-3</v>
      </c>
      <c r="R29" s="95">
        <f>IF(AND(SamplingData[[#This Row],[Total]]&lt;&gt; 0, NOT(ISBLANK(SamplingData[[#This Row],[Candidate 3]]))),(SamplingData[[#This Row],[Total]]+SamplingData[[#This Row],[Winning Candidate]]-SamplingData[[#This Row],[Candidate 3]])/(SamplingData[[#Totals],[Winning Candidate]]-SamplingData[[#Totals],[Candidate 3]]), 0)</f>
        <v>2.4271844660194173E-3</v>
      </c>
      <c r="S29" s="95">
        <f>IF(AND(SamplingData[[#This Row],[Total]]&lt;&gt; 0, NOT(ISBLANK(SamplingData[[#This Row],[Candidate 4]]))),(SamplingData[[#This Row],[Total]]+SamplingData[[#This Row],[Winning Candidate]]-SamplingData[[#This Row],[Candidate 4]])/(SamplingData[[#Totals],[Winning Candidate]]-SamplingData[[#Totals],[Candidate 4]]), 0)</f>
        <v>0</v>
      </c>
      <c r="T29" s="95">
        <f>IF(AND(SamplingData[[#This Row],[Total]]&lt;&gt; 0, NOT(ISBLANK(SamplingData[[#This Row],[Candidate 5]]))),(SamplingData[[#This Row],[Total]]+SamplingData[[#This Row],[Winning Candidate]]-SamplingData[[#This Row],[Candidate 5]])/(SamplingData[[#Totals],[Winning Candidate]]-SamplingData[[#Totals],[Candidate 5]]), 0)</f>
        <v>0</v>
      </c>
      <c r="U29" s="95">
        <f>IF(AND(SamplingData[[#This Row],[Total]]&lt;&gt; 0, NOT(ISBLANK(SamplingData[[#This Row],[Candidate 6]]))),(SamplingData[[#This Row],[Total]]+SamplingData[[#This Row],[Losing Candidate]]-SamplingData[[#This Row],[Candidate 6]])/(SamplingData[[#Totals],[Winning Candidate]]-SamplingData[[#Totals],[Candidate 6]]), 0)</f>
        <v>0</v>
      </c>
      <c r="V29" s="95">
        <f>IF(AND(SamplingData[[#This Row],[Total]]&lt;&gt; 0, NOT(ISBLANK(SamplingData[[#This Row],[Candidate 7]]))),(SamplingData[[#This Row],[Total]]+SamplingData[[#This Row],[Winning Candidate]]-SamplingData[[#This Row],[Candidate 7]])/(SamplingData[[#Totals],[Winning Candidate]]-SamplingData[[#Totals],[Candidate 7]]), 0)</f>
        <v>0</v>
      </c>
      <c r="W29" s="95">
        <f>IF(AND(SamplingData[[#This Row],[Total]]&lt;&gt; 0, NOT(ISBLANK(SamplingData[[#This Row],[Candidate 8]]))),(SamplingData[[#This Row],[Total]]+SamplingData[[#This Row],[Winning Candidate]]-SamplingData[[#This Row],[Candidate 8]])/(SamplingData[[#Totals],[Winning Candidate]]-SamplingData[[#Totals],[Candidate 8]]), 0)</f>
        <v>0</v>
      </c>
      <c r="X2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 s="95">
        <f>MAX(SamplingData[[#This Row],[Error Bound (up) - Max. possible relative overstatement - Losing Candidate]:[Error Bound (up) - Max. possible relative overstatement - Candidate 12]])</f>
        <v>2.7179065798622086E-3</v>
      </c>
      <c r="AC29" s="95">
        <f>IF(SamplingData[[#This Row],[Max Error Bound (up)]] = 0,0,SamplingData[[#This Row],[Max Error Bound (up)]]/SamplingData[[#Totals],[Max Error Bound (up)]])</f>
        <v>1.1030774715790692E-3</v>
      </c>
      <c r="AD29" s="18">
        <f>SUM($AC$5:AC29)</f>
        <v>2.8101099427614851E-2</v>
      </c>
      <c r="AE29" s="95" t="str">
        <f t="array" ref="AE29">IF(SamplingData[[#This Row],[up/U Selection Probability]] = 0, "Zero", TEXT(SamplingData[[#This Row],[Lower Range]], REPT("0",LEN('General Info'!$B$42))) &amp; " - " &amp; TEXT(SamplingData[[#This Row],[Upper Range]], REPT("0",LEN('General Info'!$B$42))))</f>
        <v>02700 - 02809</v>
      </c>
      <c r="AF29" s="95">
        <f>SamplingData[[#This Row],[Upper Range]]-SamplingData[[#This Row],[Span]]</f>
        <v>2699.8021956035782</v>
      </c>
      <c r="AG29" s="95">
        <f>IF(ISNUMBER('General Info'!$B$42), ((SamplingData[[#This Row],[up/U Selection Probability]]) * 'General Info'!$B$44) - 1, 0)</f>
        <v>109.30774715790693</v>
      </c>
      <c r="AH29" s="95">
        <f>IF(ISNUMBER('General Info'!$B$42), (SamplingData[[#This Row],[Running (cumulative) sum]] * ('General Info'!$B$42 -'General Info'!$B$43 + 1)) + 'General Info'!$B$43 - 1, 0)</f>
        <v>2809.1099427614849</v>
      </c>
      <c r="AI29" s="95" t="str">
        <f>IF(ISERROR(MATCH(SamplingData[[#This Row],[Batch by Type (p)]],SelectedPrecincts[Batch Name], 0)), "", INDEX(SelectedPrecincts[Draw], MATCH(SamplingData[[#This Row],[Batch by Type (p)]],SelectedPrecincts[Batch Name], 0)))</f>
        <v/>
      </c>
      <c r="AJ29" s="96">
        <f>IF(COUNTIF(SelectedPrecincts[Batch Name],SamplingData[[#This Row],[Batch by Type (p)]]) &lt;&gt; 0, COUNTIF(SelectedPrecincts[Batch Name],SamplingData[[#This Row],[Batch by Type (p)]]), 0)</f>
        <v>0</v>
      </c>
    </row>
    <row r="30" spans="1:36" ht="15" customHeight="1" x14ac:dyDescent="0.35">
      <c r="A30" s="98" t="s">
        <v>241</v>
      </c>
      <c r="B30" s="98">
        <v>10</v>
      </c>
      <c r="C30" s="98">
        <v>6</v>
      </c>
      <c r="D30" s="93">
        <v>1</v>
      </c>
      <c r="E30" s="93"/>
      <c r="F30" s="93"/>
      <c r="G30" s="97"/>
      <c r="H30" s="97"/>
      <c r="I30" s="93"/>
      <c r="J30" s="93"/>
      <c r="K30" s="93"/>
      <c r="L30" s="93"/>
      <c r="M30" s="93"/>
      <c r="N30" s="98">
        <v>0</v>
      </c>
      <c r="O30" s="98">
        <v>0</v>
      </c>
      <c r="P30" s="94">
        <f>SUM(SamplingData[[#This Row],[Winning Candidate]:[Under Votes]])</f>
        <v>17</v>
      </c>
      <c r="Q30" s="95">
        <f>IF(AND(SamplingData[[#This Row],[Total]]&lt;&gt; 0, NOT(ISBLANK(SamplingData[[#This Row],[Losing Candidate]]))),(SamplingData[[#This Row],[Total]]+SamplingData[[#This Row],[Winning Candidate]]-SamplingData[[#This Row],[Losing Candidate]])/(SamplingData[[#Totals],[Winning Candidate]]-SamplingData[[#Totals],[Losing Candidate]]), 0)</f>
        <v>1.3273497250489855E-3</v>
      </c>
      <c r="R30" s="95">
        <f>IF(AND(SamplingData[[#This Row],[Total]]&lt;&gt; 0, NOT(ISBLANK(SamplingData[[#This Row],[Candidate 3]]))),(SamplingData[[#This Row],[Total]]+SamplingData[[#This Row],[Winning Candidate]]-SamplingData[[#This Row],[Candidate 3]])/(SamplingData[[#Totals],[Winning Candidate]]-SamplingData[[#Totals],[Candidate 3]]), 0)</f>
        <v>1.4675999096861595E-3</v>
      </c>
      <c r="S30" s="95">
        <f>IF(AND(SamplingData[[#This Row],[Total]]&lt;&gt; 0, NOT(ISBLANK(SamplingData[[#This Row],[Candidate 4]]))),(SamplingData[[#This Row],[Total]]+SamplingData[[#This Row],[Winning Candidate]]-SamplingData[[#This Row],[Candidate 4]])/(SamplingData[[#Totals],[Winning Candidate]]-SamplingData[[#Totals],[Candidate 4]]), 0)</f>
        <v>0</v>
      </c>
      <c r="T30" s="95">
        <f>IF(AND(SamplingData[[#This Row],[Total]]&lt;&gt; 0, NOT(ISBLANK(SamplingData[[#This Row],[Candidate 5]]))),(SamplingData[[#This Row],[Total]]+SamplingData[[#This Row],[Winning Candidate]]-SamplingData[[#This Row],[Candidate 5]])/(SamplingData[[#Totals],[Winning Candidate]]-SamplingData[[#Totals],[Candidate 5]]), 0)</f>
        <v>0</v>
      </c>
      <c r="U30" s="95">
        <f>IF(AND(SamplingData[[#This Row],[Total]]&lt;&gt; 0, NOT(ISBLANK(SamplingData[[#This Row],[Candidate 6]]))),(SamplingData[[#This Row],[Total]]+SamplingData[[#This Row],[Losing Candidate]]-SamplingData[[#This Row],[Candidate 6]])/(SamplingData[[#Totals],[Winning Candidate]]-SamplingData[[#Totals],[Candidate 6]]), 0)</f>
        <v>0</v>
      </c>
      <c r="V30" s="95">
        <f>IF(AND(SamplingData[[#This Row],[Total]]&lt;&gt; 0, NOT(ISBLANK(SamplingData[[#This Row],[Candidate 7]]))),(SamplingData[[#This Row],[Total]]+SamplingData[[#This Row],[Winning Candidate]]-SamplingData[[#This Row],[Candidate 7]])/(SamplingData[[#Totals],[Winning Candidate]]-SamplingData[[#Totals],[Candidate 7]]), 0)</f>
        <v>0</v>
      </c>
      <c r="W30" s="95">
        <f>IF(AND(SamplingData[[#This Row],[Total]]&lt;&gt; 0, NOT(ISBLANK(SamplingData[[#This Row],[Candidate 8]]))),(SamplingData[[#This Row],[Total]]+SamplingData[[#This Row],[Winning Candidate]]-SamplingData[[#This Row],[Candidate 8]])/(SamplingData[[#Totals],[Winning Candidate]]-SamplingData[[#Totals],[Candidate 8]]), 0)</f>
        <v>0</v>
      </c>
      <c r="X3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 s="95">
        <f>MAX(SamplingData[[#This Row],[Error Bound (up) - Max. possible relative overstatement - Losing Candidate]:[Error Bound (up) - Max. possible relative overstatement - Candidate 12]])</f>
        <v>1.4675999096861595E-3</v>
      </c>
      <c r="AC30" s="95">
        <f>IF(SamplingData[[#This Row],[Max Error Bound (up)]] = 0,0,SamplingData[[#This Row],[Max Error Bound (up)]]/SamplingData[[#Totals],[Max Error Bound (up)]])</f>
        <v>5.9563356947623725E-4</v>
      </c>
      <c r="AD30" s="18">
        <f>SUM($AC$5:AC30)</f>
        <v>2.8696732997091089E-2</v>
      </c>
      <c r="AE30" s="95" t="str">
        <f t="array" ref="AE30">IF(SamplingData[[#This Row],[up/U Selection Probability]] = 0, "Zero", TEXT(SamplingData[[#This Row],[Lower Range]], REPT("0",LEN('General Info'!$B$42))) &amp; " - " &amp; TEXT(SamplingData[[#This Row],[Upper Range]], REPT("0",LEN('General Info'!$B$42))))</f>
        <v>02810 - 02869</v>
      </c>
      <c r="AF30" s="95">
        <f>SamplingData[[#This Row],[Upper Range]]-SamplingData[[#This Row],[Span]]</f>
        <v>2810.1099427614854</v>
      </c>
      <c r="AG30" s="95">
        <f>IF(ISNUMBER('General Info'!$B$42), ((SamplingData[[#This Row],[up/U Selection Probability]]) * 'General Info'!$B$44) - 1, 0)</f>
        <v>58.563356947623724</v>
      </c>
      <c r="AH30" s="95">
        <f>IF(ISNUMBER('General Info'!$B$42), (SamplingData[[#This Row],[Running (cumulative) sum]] * ('General Info'!$B$42 -'General Info'!$B$43 + 1)) + 'General Info'!$B$43 - 1, 0)</f>
        <v>2868.673299709109</v>
      </c>
      <c r="AI30" s="95" t="str">
        <f>IF(ISERROR(MATCH(SamplingData[[#This Row],[Batch by Type (p)]],SelectedPrecincts[Batch Name], 0)), "", INDEX(SelectedPrecincts[Draw], MATCH(SamplingData[[#This Row],[Batch by Type (p)]],SelectedPrecincts[Batch Name], 0)))</f>
        <v/>
      </c>
      <c r="AJ30" s="96">
        <f>IF(COUNTIF(SelectedPrecincts[Batch Name],SamplingData[[#This Row],[Batch by Type (p)]]) &lt;&gt; 0, COUNTIF(SelectedPrecincts[Batch Name],SamplingData[[#This Row],[Batch by Type (p)]]), 0)</f>
        <v>0</v>
      </c>
    </row>
    <row r="31" spans="1:36" ht="15" customHeight="1" x14ac:dyDescent="0.35">
      <c r="A31" s="98" t="s">
        <v>242</v>
      </c>
      <c r="B31" s="98">
        <v>52</v>
      </c>
      <c r="C31" s="98">
        <v>6</v>
      </c>
      <c r="D31" s="93">
        <v>5</v>
      </c>
      <c r="E31" s="93"/>
      <c r="F31" s="93"/>
      <c r="G31" s="97"/>
      <c r="H31" s="97"/>
      <c r="I31" s="93"/>
      <c r="J31" s="93"/>
      <c r="K31" s="93"/>
      <c r="L31" s="93"/>
      <c r="M31" s="93"/>
      <c r="N31" s="98">
        <v>0</v>
      </c>
      <c r="O31" s="98">
        <v>2</v>
      </c>
      <c r="P31" s="94">
        <f>SUM(SamplingData[[#This Row],[Winning Candidate]:[Under Votes]])</f>
        <v>65</v>
      </c>
      <c r="Q31" s="95">
        <f>IF(AND(SamplingData[[#This Row],[Total]]&lt;&gt; 0, NOT(ISBLANK(SamplingData[[#This Row],[Losing Candidate]]))),(SamplingData[[#This Row],[Total]]+SamplingData[[#This Row],[Winning Candidate]]-SamplingData[[#This Row],[Losing Candidate]])/(SamplingData[[#Totals],[Winning Candidate]]-SamplingData[[#Totals],[Losing Candidate]]), 0)</f>
        <v>7.015991403830352E-3</v>
      </c>
      <c r="R31" s="95">
        <f>IF(AND(SamplingData[[#This Row],[Total]]&lt;&gt; 0, NOT(ISBLANK(SamplingData[[#This Row],[Candidate 3]]))),(SamplingData[[#This Row],[Total]]+SamplingData[[#This Row],[Winning Candidate]]-SamplingData[[#This Row],[Candidate 3]])/(SamplingData[[#Totals],[Winning Candidate]]-SamplingData[[#Totals],[Candidate 3]]), 0)</f>
        <v>6.3219688417249943E-3</v>
      </c>
      <c r="S31" s="95">
        <f>IF(AND(SamplingData[[#This Row],[Total]]&lt;&gt; 0, NOT(ISBLANK(SamplingData[[#This Row],[Candidate 4]]))),(SamplingData[[#This Row],[Total]]+SamplingData[[#This Row],[Winning Candidate]]-SamplingData[[#This Row],[Candidate 4]])/(SamplingData[[#Totals],[Winning Candidate]]-SamplingData[[#Totals],[Candidate 4]]), 0)</f>
        <v>0</v>
      </c>
      <c r="T31" s="95">
        <f>IF(AND(SamplingData[[#This Row],[Total]]&lt;&gt; 0, NOT(ISBLANK(SamplingData[[#This Row],[Candidate 5]]))),(SamplingData[[#This Row],[Total]]+SamplingData[[#This Row],[Winning Candidate]]-SamplingData[[#This Row],[Candidate 5]])/(SamplingData[[#Totals],[Winning Candidate]]-SamplingData[[#Totals],[Candidate 5]]), 0)</f>
        <v>0</v>
      </c>
      <c r="U31" s="95">
        <f>IF(AND(SamplingData[[#This Row],[Total]]&lt;&gt; 0, NOT(ISBLANK(SamplingData[[#This Row],[Candidate 6]]))),(SamplingData[[#This Row],[Total]]+SamplingData[[#This Row],[Losing Candidate]]-SamplingData[[#This Row],[Candidate 6]])/(SamplingData[[#Totals],[Winning Candidate]]-SamplingData[[#Totals],[Candidate 6]]), 0)</f>
        <v>0</v>
      </c>
      <c r="V31" s="95">
        <f>IF(AND(SamplingData[[#This Row],[Total]]&lt;&gt; 0, NOT(ISBLANK(SamplingData[[#This Row],[Candidate 7]]))),(SamplingData[[#This Row],[Total]]+SamplingData[[#This Row],[Winning Candidate]]-SamplingData[[#This Row],[Candidate 7]])/(SamplingData[[#Totals],[Winning Candidate]]-SamplingData[[#Totals],[Candidate 7]]), 0)</f>
        <v>0</v>
      </c>
      <c r="W31" s="95">
        <f>IF(AND(SamplingData[[#This Row],[Total]]&lt;&gt; 0, NOT(ISBLANK(SamplingData[[#This Row],[Candidate 8]]))),(SamplingData[[#This Row],[Total]]+SamplingData[[#This Row],[Winning Candidate]]-SamplingData[[#This Row],[Candidate 8]])/(SamplingData[[#Totals],[Winning Candidate]]-SamplingData[[#Totals],[Candidate 8]]), 0)</f>
        <v>0</v>
      </c>
      <c r="X3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 s="95">
        <f>MAX(SamplingData[[#This Row],[Error Bound (up) - Max. possible relative overstatement - Losing Candidate]:[Error Bound (up) - Max. possible relative overstatement - Candidate 12]])</f>
        <v>7.015991403830352E-3</v>
      </c>
      <c r="AC31" s="95">
        <f>IF(SamplingData[[#This Row],[Max Error Bound (up)]] = 0,0,SamplingData[[#This Row],[Max Error Bound (up)]]/SamplingData[[#Totals],[Max Error Bound (up)]])</f>
        <v>2.8474790545413181E-3</v>
      </c>
      <c r="AD31" s="18">
        <f>SUM($AC$5:AC31)</f>
        <v>3.1544212051632409E-2</v>
      </c>
      <c r="AE31" s="95" t="str">
        <f t="array" ref="AE31">IF(SamplingData[[#This Row],[up/U Selection Probability]] = 0, "Zero", TEXT(SamplingData[[#This Row],[Lower Range]], REPT("0",LEN('General Info'!$B$42))) &amp; " - " &amp; TEXT(SamplingData[[#This Row],[Upper Range]], REPT("0",LEN('General Info'!$B$42))))</f>
        <v>02870 - 03153</v>
      </c>
      <c r="AF31" s="95">
        <f>SamplingData[[#This Row],[Upper Range]]-SamplingData[[#This Row],[Span]]</f>
        <v>2869.673299709109</v>
      </c>
      <c r="AG31" s="95">
        <f>IF(ISNUMBER('General Info'!$B$42), ((SamplingData[[#This Row],[up/U Selection Probability]]) * 'General Info'!$B$44) - 1, 0)</f>
        <v>283.7479054541318</v>
      </c>
      <c r="AH31" s="95">
        <f>IF(ISNUMBER('General Info'!$B$42), (SamplingData[[#This Row],[Running (cumulative) sum]] * ('General Info'!$B$42 -'General Info'!$B$43 + 1)) + 'General Info'!$B$43 - 1, 0)</f>
        <v>3153.4212051632408</v>
      </c>
      <c r="AI31" s="95" t="str">
        <f>IF(ISERROR(MATCH(SamplingData[[#This Row],[Batch by Type (p)]],SelectedPrecincts[Batch Name], 0)), "", INDEX(SelectedPrecincts[Draw], MATCH(SamplingData[[#This Row],[Batch by Type (p)]],SelectedPrecincts[Batch Name], 0)))</f>
        <v/>
      </c>
      <c r="AJ31" s="96">
        <f>IF(COUNTIF(SelectedPrecincts[Batch Name],SamplingData[[#This Row],[Batch by Type (p)]]) &lt;&gt; 0, COUNTIF(SelectedPrecincts[Batch Name],SamplingData[[#This Row],[Batch by Type (p)]]), 0)</f>
        <v>0</v>
      </c>
    </row>
    <row r="32" spans="1:36" ht="15" customHeight="1" x14ac:dyDescent="0.35">
      <c r="A32" s="98" t="s">
        <v>243</v>
      </c>
      <c r="B32" s="98">
        <v>20</v>
      </c>
      <c r="C32" s="98">
        <v>0</v>
      </c>
      <c r="D32" s="93">
        <v>0</v>
      </c>
      <c r="E32" s="93"/>
      <c r="F32" s="93"/>
      <c r="G32" s="97"/>
      <c r="H32" s="97"/>
      <c r="I32" s="93"/>
      <c r="J32" s="93"/>
      <c r="K32" s="93"/>
      <c r="L32" s="93"/>
      <c r="M32" s="93"/>
      <c r="N32" s="98">
        <v>0</v>
      </c>
      <c r="O32" s="98">
        <v>0</v>
      </c>
      <c r="P32" s="94">
        <f>SUM(SamplingData[[#This Row],[Winning Candidate]:[Under Votes]])</f>
        <v>20</v>
      </c>
      <c r="Q32" s="95">
        <f>IF(AND(SamplingData[[#This Row],[Total]]&lt;&gt; 0, NOT(ISBLANK(SamplingData[[#This Row],[Losing Candidate]]))),(SamplingData[[#This Row],[Total]]+SamplingData[[#This Row],[Winning Candidate]]-SamplingData[[#This Row],[Losing Candidate]])/(SamplingData[[#Totals],[Winning Candidate]]-SamplingData[[#Totals],[Losing Candidate]]), 0)</f>
        <v>2.5282851905694963E-3</v>
      </c>
      <c r="R32" s="95">
        <f>IF(AND(SamplingData[[#This Row],[Total]]&lt;&gt; 0, NOT(ISBLANK(SamplingData[[#This Row],[Candidate 3]]))),(SamplingData[[#This Row],[Total]]+SamplingData[[#This Row],[Winning Candidate]]-SamplingData[[#This Row],[Candidate 3]])/(SamplingData[[#Totals],[Winning Candidate]]-SamplingData[[#Totals],[Candidate 3]]), 0)</f>
        <v>2.2578460149017838E-3</v>
      </c>
      <c r="S32" s="95">
        <f>IF(AND(SamplingData[[#This Row],[Total]]&lt;&gt; 0, NOT(ISBLANK(SamplingData[[#This Row],[Candidate 4]]))),(SamplingData[[#This Row],[Total]]+SamplingData[[#This Row],[Winning Candidate]]-SamplingData[[#This Row],[Candidate 4]])/(SamplingData[[#Totals],[Winning Candidate]]-SamplingData[[#Totals],[Candidate 4]]), 0)</f>
        <v>0</v>
      </c>
      <c r="T32" s="95">
        <f>IF(AND(SamplingData[[#This Row],[Total]]&lt;&gt; 0, NOT(ISBLANK(SamplingData[[#This Row],[Candidate 5]]))),(SamplingData[[#This Row],[Total]]+SamplingData[[#This Row],[Winning Candidate]]-SamplingData[[#This Row],[Candidate 5]])/(SamplingData[[#Totals],[Winning Candidate]]-SamplingData[[#Totals],[Candidate 5]]), 0)</f>
        <v>0</v>
      </c>
      <c r="U32" s="95">
        <f>IF(AND(SamplingData[[#This Row],[Total]]&lt;&gt; 0, NOT(ISBLANK(SamplingData[[#This Row],[Candidate 6]]))),(SamplingData[[#This Row],[Total]]+SamplingData[[#This Row],[Losing Candidate]]-SamplingData[[#This Row],[Candidate 6]])/(SamplingData[[#Totals],[Winning Candidate]]-SamplingData[[#Totals],[Candidate 6]]), 0)</f>
        <v>0</v>
      </c>
      <c r="V32" s="95">
        <f>IF(AND(SamplingData[[#This Row],[Total]]&lt;&gt; 0, NOT(ISBLANK(SamplingData[[#This Row],[Candidate 7]]))),(SamplingData[[#This Row],[Total]]+SamplingData[[#This Row],[Winning Candidate]]-SamplingData[[#This Row],[Candidate 7]])/(SamplingData[[#Totals],[Winning Candidate]]-SamplingData[[#Totals],[Candidate 7]]), 0)</f>
        <v>0</v>
      </c>
      <c r="W32" s="95">
        <f>IF(AND(SamplingData[[#This Row],[Total]]&lt;&gt; 0, NOT(ISBLANK(SamplingData[[#This Row],[Candidate 8]]))),(SamplingData[[#This Row],[Total]]+SamplingData[[#This Row],[Winning Candidate]]-SamplingData[[#This Row],[Candidate 8]])/(SamplingData[[#Totals],[Winning Candidate]]-SamplingData[[#Totals],[Candidate 8]]), 0)</f>
        <v>0</v>
      </c>
      <c r="X3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 s="95">
        <f>MAX(SamplingData[[#This Row],[Error Bound (up) - Max. possible relative overstatement - Losing Candidate]:[Error Bound (up) - Max. possible relative overstatement - Candidate 12]])</f>
        <v>2.5282851905694963E-3</v>
      </c>
      <c r="AC32" s="95">
        <f>IF(SamplingData[[#This Row],[Max Error Bound (up)]] = 0,0,SamplingData[[#This Row],[Max Error Bound (up)]]/SamplingData[[#Totals],[Max Error Bound (up)]])</f>
        <v>1.0261185782130876E-3</v>
      </c>
      <c r="AD32" s="18">
        <f>SUM($AC$5:AC32)</f>
        <v>3.2570330629845497E-2</v>
      </c>
      <c r="AE32" s="95" t="str">
        <f t="array" ref="AE32">IF(SamplingData[[#This Row],[up/U Selection Probability]] = 0, "Zero", TEXT(SamplingData[[#This Row],[Lower Range]], REPT("0",LEN('General Info'!$B$42))) &amp; " - " &amp; TEXT(SamplingData[[#This Row],[Upper Range]], REPT("0",LEN('General Info'!$B$42))))</f>
        <v>03154 - 03256</v>
      </c>
      <c r="AF32" s="95">
        <f>SamplingData[[#This Row],[Upper Range]]-SamplingData[[#This Row],[Span]]</f>
        <v>3154.4212051632412</v>
      </c>
      <c r="AG32" s="95">
        <f>IF(ISNUMBER('General Info'!$B$42), ((SamplingData[[#This Row],[up/U Selection Probability]]) * 'General Info'!$B$44) - 1, 0)</f>
        <v>101.61185782130876</v>
      </c>
      <c r="AH32" s="95">
        <f>IF(ISNUMBER('General Info'!$B$42), (SamplingData[[#This Row],[Running (cumulative) sum]] * ('General Info'!$B$42 -'General Info'!$B$43 + 1)) + 'General Info'!$B$43 - 1, 0)</f>
        <v>3256.0330629845498</v>
      </c>
      <c r="AI32" s="95" t="str">
        <f>IF(ISERROR(MATCH(SamplingData[[#This Row],[Batch by Type (p)]],SelectedPrecincts[Batch Name], 0)), "", INDEX(SelectedPrecincts[Draw], MATCH(SamplingData[[#This Row],[Batch by Type (p)]],SelectedPrecincts[Batch Name], 0)))</f>
        <v/>
      </c>
      <c r="AJ32" s="96">
        <f>IF(COUNTIF(SelectedPrecincts[Batch Name],SamplingData[[#This Row],[Batch by Type (p)]]) &lt;&gt; 0, COUNTIF(SelectedPrecincts[Batch Name],SamplingData[[#This Row],[Batch by Type (p)]]), 0)</f>
        <v>0</v>
      </c>
    </row>
    <row r="33" spans="1:36" ht="15" customHeight="1" x14ac:dyDescent="0.35">
      <c r="A33" s="98" t="s">
        <v>244</v>
      </c>
      <c r="B33" s="98">
        <v>21</v>
      </c>
      <c r="C33" s="98">
        <v>1</v>
      </c>
      <c r="D33" s="93">
        <v>0</v>
      </c>
      <c r="E33" s="93"/>
      <c r="F33" s="93"/>
      <c r="G33" s="97"/>
      <c r="H33" s="97"/>
      <c r="I33" s="93"/>
      <c r="J33" s="93"/>
      <c r="K33" s="93"/>
      <c r="L33" s="93"/>
      <c r="M33" s="93"/>
      <c r="N33" s="98">
        <v>0</v>
      </c>
      <c r="O33" s="98">
        <v>0</v>
      </c>
      <c r="P33" s="99">
        <f>SUM(SamplingData[[#This Row],[Winning Candidate]:[Under Votes]])</f>
        <v>22</v>
      </c>
      <c r="Q33" s="100">
        <f>IF(AND(SamplingData[[#This Row],[Total]]&lt;&gt; 0, NOT(ISBLANK(SamplingData[[#This Row],[Losing Candidate]]))),(SamplingData[[#This Row],[Total]]+SamplingData[[#This Row],[Winning Candidate]]-SamplingData[[#This Row],[Losing Candidate]])/(SamplingData[[#Totals],[Winning Candidate]]-SamplingData[[#Totals],[Losing Candidate]]), 0)</f>
        <v>2.654699450097971E-3</v>
      </c>
      <c r="R33" s="100">
        <f>IF(AND(SamplingData[[#This Row],[Total]]&lt;&gt; 0, NOT(ISBLANK(SamplingData[[#This Row],[Candidate 3]]))),(SamplingData[[#This Row],[Total]]+SamplingData[[#This Row],[Winning Candidate]]-SamplingData[[#This Row],[Candidate 3]])/(SamplingData[[#Totals],[Winning Candidate]]-SamplingData[[#Totals],[Candidate 3]]), 0)</f>
        <v>2.4271844660194173E-3</v>
      </c>
      <c r="S33" s="100">
        <f>IF(AND(SamplingData[[#This Row],[Total]]&lt;&gt; 0, NOT(ISBLANK(SamplingData[[#This Row],[Candidate 4]]))),(SamplingData[[#This Row],[Total]]+SamplingData[[#This Row],[Winning Candidate]]-SamplingData[[#This Row],[Candidate 4]])/(SamplingData[[#Totals],[Winning Candidate]]-SamplingData[[#Totals],[Candidate 4]]), 0)</f>
        <v>0</v>
      </c>
      <c r="T33" s="100">
        <f>IF(AND(SamplingData[[#This Row],[Total]]&lt;&gt; 0, NOT(ISBLANK(SamplingData[[#This Row],[Candidate 5]]))),(SamplingData[[#This Row],[Total]]+SamplingData[[#This Row],[Winning Candidate]]-SamplingData[[#This Row],[Candidate 5]])/(SamplingData[[#Totals],[Winning Candidate]]-SamplingData[[#Totals],[Candidate 5]]), 0)</f>
        <v>0</v>
      </c>
      <c r="U33" s="100">
        <f>IF(AND(SamplingData[[#This Row],[Total]]&lt;&gt; 0, NOT(ISBLANK(SamplingData[[#This Row],[Candidate 6]]))),(SamplingData[[#This Row],[Total]]+SamplingData[[#This Row],[Losing Candidate]]-SamplingData[[#This Row],[Candidate 6]])/(SamplingData[[#Totals],[Winning Candidate]]-SamplingData[[#Totals],[Candidate 6]]), 0)</f>
        <v>0</v>
      </c>
      <c r="V33" s="100">
        <f>IF(AND(SamplingData[[#This Row],[Total]]&lt;&gt; 0, NOT(ISBLANK(SamplingData[[#This Row],[Candidate 7]]))),(SamplingData[[#This Row],[Total]]+SamplingData[[#This Row],[Winning Candidate]]-SamplingData[[#This Row],[Candidate 7]])/(SamplingData[[#Totals],[Winning Candidate]]-SamplingData[[#Totals],[Candidate 7]]), 0)</f>
        <v>0</v>
      </c>
      <c r="W33" s="100">
        <f>IF(AND(SamplingData[[#This Row],[Total]]&lt;&gt; 0, NOT(ISBLANK(SamplingData[[#This Row],[Candidate 8]]))),(SamplingData[[#This Row],[Total]]+SamplingData[[#This Row],[Winning Candidate]]-SamplingData[[#This Row],[Candidate 8]])/(SamplingData[[#Totals],[Winning Candidate]]-SamplingData[[#Totals],[Candidate 8]]), 0)</f>
        <v>0</v>
      </c>
      <c r="X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 s="100">
        <f>MAX(SamplingData[[#This Row],[Error Bound (up) - Max. possible relative overstatement - Losing Candidate]:[Error Bound (up) - Max. possible relative overstatement - Candidate 12]])</f>
        <v>2.654699450097971E-3</v>
      </c>
      <c r="AC33" s="100">
        <f>IF(SamplingData[[#This Row],[Max Error Bound (up)]] = 0,0,SamplingData[[#This Row],[Max Error Bound (up)]]/SamplingData[[#Totals],[Max Error Bound (up)]])</f>
        <v>1.0774245071237419E-3</v>
      </c>
      <c r="AD33" s="18">
        <f>SUM($AC$5:AC33)</f>
        <v>3.3647755136969236E-2</v>
      </c>
      <c r="AE33" s="100" t="str">
        <f t="array" ref="AE33">IF(SamplingData[[#This Row],[up/U Selection Probability]] = 0, "Zero", TEXT(SamplingData[[#This Row],[Lower Range]], REPT("0",LEN('General Info'!$B$42))) &amp; " - " &amp; TEXT(SamplingData[[#This Row],[Upper Range]], REPT("0",LEN('General Info'!$B$42))))</f>
        <v>03257 - 03364</v>
      </c>
      <c r="AF33" s="100">
        <f>SamplingData[[#This Row],[Upper Range]]-SamplingData[[#This Row],[Span]]</f>
        <v>3257.0330629845494</v>
      </c>
      <c r="AG33" s="100">
        <f>IF(ISNUMBER('General Info'!$B$42), ((SamplingData[[#This Row],[up/U Selection Probability]]) * 'General Info'!$B$44) - 1, 0)</f>
        <v>106.74245071237419</v>
      </c>
      <c r="AH33" s="100">
        <f>IF(ISNUMBER('General Info'!$B$42), (SamplingData[[#This Row],[Running (cumulative) sum]] * ('General Info'!$B$42 -'General Info'!$B$43 + 1)) + 'General Info'!$B$43 - 1, 0)</f>
        <v>3363.7755136969236</v>
      </c>
      <c r="AI33" s="100" t="str">
        <f>IF(ISERROR(MATCH(SamplingData[[#This Row],[Batch by Type (p)]],SelectedPrecincts[Batch Name], 0)), "", INDEX(SelectedPrecincts[Draw], MATCH(SamplingData[[#This Row],[Batch by Type (p)]],SelectedPrecincts[Batch Name], 0)))</f>
        <v/>
      </c>
      <c r="AJ33" s="101">
        <f>IF(COUNTIF(SelectedPrecincts[Batch Name],SamplingData[[#This Row],[Batch by Type (p)]]) &lt;&gt; 0, COUNTIF(SelectedPrecincts[Batch Name],SamplingData[[#This Row],[Batch by Type (p)]]), 0)</f>
        <v>0</v>
      </c>
    </row>
    <row r="34" spans="1:36" ht="15" customHeight="1" x14ac:dyDescent="0.35">
      <c r="A34" s="98" t="s">
        <v>245</v>
      </c>
      <c r="B34" s="98">
        <v>18</v>
      </c>
      <c r="C34" s="98">
        <v>6</v>
      </c>
      <c r="D34" s="93">
        <v>0</v>
      </c>
      <c r="E34" s="93"/>
      <c r="F34" s="93"/>
      <c r="G34" s="97"/>
      <c r="H34" s="97"/>
      <c r="I34" s="93"/>
      <c r="J34" s="93"/>
      <c r="K34" s="93"/>
      <c r="L34" s="93"/>
      <c r="M34" s="93"/>
      <c r="N34" s="98">
        <v>0</v>
      </c>
      <c r="O34" s="98">
        <v>0</v>
      </c>
      <c r="P34" s="99">
        <f>SUM(SamplingData[[#This Row],[Winning Candidate]:[Under Votes]])</f>
        <v>24</v>
      </c>
      <c r="Q34" s="100">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34" s="100">
        <f>IF(AND(SamplingData[[#This Row],[Total]]&lt;&gt; 0, NOT(ISBLANK(SamplingData[[#This Row],[Candidate 3]]))),(SamplingData[[#This Row],[Total]]+SamplingData[[#This Row],[Winning Candidate]]-SamplingData[[#This Row],[Candidate 3]])/(SamplingData[[#Totals],[Winning Candidate]]-SamplingData[[#Totals],[Candidate 3]]), 0)</f>
        <v>2.3707383156468731E-3</v>
      </c>
      <c r="S34" s="100">
        <f>IF(AND(SamplingData[[#This Row],[Total]]&lt;&gt; 0, NOT(ISBLANK(SamplingData[[#This Row],[Candidate 4]]))),(SamplingData[[#This Row],[Total]]+SamplingData[[#This Row],[Winning Candidate]]-SamplingData[[#This Row],[Candidate 4]])/(SamplingData[[#Totals],[Winning Candidate]]-SamplingData[[#Totals],[Candidate 4]]), 0)</f>
        <v>0</v>
      </c>
      <c r="T34" s="100">
        <f>IF(AND(SamplingData[[#This Row],[Total]]&lt;&gt; 0, NOT(ISBLANK(SamplingData[[#This Row],[Candidate 5]]))),(SamplingData[[#This Row],[Total]]+SamplingData[[#This Row],[Winning Candidate]]-SamplingData[[#This Row],[Candidate 5]])/(SamplingData[[#Totals],[Winning Candidate]]-SamplingData[[#Totals],[Candidate 5]]), 0)</f>
        <v>0</v>
      </c>
      <c r="U34" s="100">
        <f>IF(AND(SamplingData[[#This Row],[Total]]&lt;&gt; 0, NOT(ISBLANK(SamplingData[[#This Row],[Candidate 6]]))),(SamplingData[[#This Row],[Total]]+SamplingData[[#This Row],[Losing Candidate]]-SamplingData[[#This Row],[Candidate 6]])/(SamplingData[[#Totals],[Winning Candidate]]-SamplingData[[#Totals],[Candidate 6]]), 0)</f>
        <v>0</v>
      </c>
      <c r="V34" s="100">
        <f>IF(AND(SamplingData[[#This Row],[Total]]&lt;&gt; 0, NOT(ISBLANK(SamplingData[[#This Row],[Candidate 7]]))),(SamplingData[[#This Row],[Total]]+SamplingData[[#This Row],[Winning Candidate]]-SamplingData[[#This Row],[Candidate 7]])/(SamplingData[[#Totals],[Winning Candidate]]-SamplingData[[#Totals],[Candidate 7]]), 0)</f>
        <v>0</v>
      </c>
      <c r="W34" s="100">
        <f>IF(AND(SamplingData[[#This Row],[Total]]&lt;&gt; 0, NOT(ISBLANK(SamplingData[[#This Row],[Candidate 8]]))),(SamplingData[[#This Row],[Total]]+SamplingData[[#This Row],[Winning Candidate]]-SamplingData[[#This Row],[Candidate 8]])/(SamplingData[[#Totals],[Winning Candidate]]-SamplingData[[#Totals],[Candidate 8]]), 0)</f>
        <v>0</v>
      </c>
      <c r="X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 s="100">
        <f>MAX(SamplingData[[#This Row],[Error Bound (up) - Max. possible relative overstatement - Losing Candidate]:[Error Bound (up) - Max. possible relative overstatement - Candidate 12]])</f>
        <v>2.3707383156468731E-3</v>
      </c>
      <c r="AC34" s="100">
        <f>IF(SamplingData[[#This Row],[Max Error Bound (up)]] = 0,0,SamplingData[[#This Row],[Max Error Bound (up)]]/SamplingData[[#Totals],[Max Error Bound (up)]])</f>
        <v>9.6217730453853701E-4</v>
      </c>
      <c r="AD34" s="18">
        <f>SUM($AC$5:AC34)</f>
        <v>3.4609932441507771E-2</v>
      </c>
      <c r="AE34" s="100" t="str">
        <f t="array" ref="AE34">IF(SamplingData[[#This Row],[up/U Selection Probability]] = 0, "Zero", TEXT(SamplingData[[#This Row],[Lower Range]], REPT("0",LEN('General Info'!$B$42))) &amp; " - " &amp; TEXT(SamplingData[[#This Row],[Upper Range]], REPT("0",LEN('General Info'!$B$42))))</f>
        <v>03365 - 03460</v>
      </c>
      <c r="AF34" s="100">
        <f>SamplingData[[#This Row],[Upper Range]]-SamplingData[[#This Row],[Span]]</f>
        <v>3364.7755136969236</v>
      </c>
      <c r="AG34" s="100">
        <f>IF(ISNUMBER('General Info'!$B$42), ((SamplingData[[#This Row],[up/U Selection Probability]]) * 'General Info'!$B$44) - 1, 0)</f>
        <v>95.217730453853704</v>
      </c>
      <c r="AH34" s="100">
        <f>IF(ISNUMBER('General Info'!$B$42), (SamplingData[[#This Row],[Running (cumulative) sum]] * ('General Info'!$B$42 -'General Info'!$B$43 + 1)) + 'General Info'!$B$43 - 1, 0)</f>
        <v>3459.9932441507772</v>
      </c>
      <c r="AI34" s="100" t="str">
        <f>IF(ISERROR(MATCH(SamplingData[[#This Row],[Batch by Type (p)]],SelectedPrecincts[Batch Name], 0)), "", INDEX(SelectedPrecincts[Draw], MATCH(SamplingData[[#This Row],[Batch by Type (p)]],SelectedPrecincts[Batch Name], 0)))</f>
        <v/>
      </c>
      <c r="AJ34" s="101">
        <f>IF(COUNTIF(SelectedPrecincts[Batch Name],SamplingData[[#This Row],[Batch by Type (p)]]) &lt;&gt; 0, COUNTIF(SelectedPrecincts[Batch Name],SamplingData[[#This Row],[Batch by Type (p)]]), 0)</f>
        <v>0</v>
      </c>
    </row>
    <row r="35" spans="1:36" ht="15" customHeight="1" x14ac:dyDescent="0.35">
      <c r="A35" s="98" t="s">
        <v>246</v>
      </c>
      <c r="B35" s="98">
        <v>23</v>
      </c>
      <c r="C35" s="98">
        <v>5</v>
      </c>
      <c r="D35" s="93">
        <v>0</v>
      </c>
      <c r="E35" s="93"/>
      <c r="F35" s="93"/>
      <c r="G35" s="97"/>
      <c r="H35" s="97"/>
      <c r="I35" s="93"/>
      <c r="J35" s="93"/>
      <c r="K35" s="93"/>
      <c r="L35" s="93"/>
      <c r="M35" s="93"/>
      <c r="N35" s="98">
        <v>0</v>
      </c>
      <c r="O35" s="98">
        <v>1</v>
      </c>
      <c r="P35" s="99">
        <f>SUM(SamplingData[[#This Row],[Winning Candidate]:[Under Votes]])</f>
        <v>29</v>
      </c>
      <c r="Q35" s="100">
        <f>IF(AND(SamplingData[[#This Row],[Total]]&lt;&gt; 0, NOT(ISBLANK(SamplingData[[#This Row],[Losing Candidate]]))),(SamplingData[[#This Row],[Total]]+SamplingData[[#This Row],[Winning Candidate]]-SamplingData[[#This Row],[Losing Candidate]])/(SamplingData[[#Totals],[Winning Candidate]]-SamplingData[[#Totals],[Losing Candidate]]), 0)</f>
        <v>2.970735098919158E-3</v>
      </c>
      <c r="R35" s="100">
        <f>IF(AND(SamplingData[[#This Row],[Total]]&lt;&gt; 0, NOT(ISBLANK(SamplingData[[#This Row],[Candidate 3]]))),(SamplingData[[#This Row],[Total]]+SamplingData[[#This Row],[Winning Candidate]]-SamplingData[[#This Row],[Candidate 3]])/(SamplingData[[#Totals],[Winning Candidate]]-SamplingData[[#Totals],[Candidate 3]]), 0)</f>
        <v>2.935199819372319E-3</v>
      </c>
      <c r="S35" s="100">
        <f>IF(AND(SamplingData[[#This Row],[Total]]&lt;&gt; 0, NOT(ISBLANK(SamplingData[[#This Row],[Candidate 4]]))),(SamplingData[[#This Row],[Total]]+SamplingData[[#This Row],[Winning Candidate]]-SamplingData[[#This Row],[Candidate 4]])/(SamplingData[[#Totals],[Winning Candidate]]-SamplingData[[#Totals],[Candidate 4]]), 0)</f>
        <v>0</v>
      </c>
      <c r="T35" s="100">
        <f>IF(AND(SamplingData[[#This Row],[Total]]&lt;&gt; 0, NOT(ISBLANK(SamplingData[[#This Row],[Candidate 5]]))),(SamplingData[[#This Row],[Total]]+SamplingData[[#This Row],[Winning Candidate]]-SamplingData[[#This Row],[Candidate 5]])/(SamplingData[[#Totals],[Winning Candidate]]-SamplingData[[#Totals],[Candidate 5]]), 0)</f>
        <v>0</v>
      </c>
      <c r="U35" s="100">
        <f>IF(AND(SamplingData[[#This Row],[Total]]&lt;&gt; 0, NOT(ISBLANK(SamplingData[[#This Row],[Candidate 6]]))),(SamplingData[[#This Row],[Total]]+SamplingData[[#This Row],[Losing Candidate]]-SamplingData[[#This Row],[Candidate 6]])/(SamplingData[[#Totals],[Winning Candidate]]-SamplingData[[#Totals],[Candidate 6]]), 0)</f>
        <v>0</v>
      </c>
      <c r="V35" s="100">
        <f>IF(AND(SamplingData[[#This Row],[Total]]&lt;&gt; 0, NOT(ISBLANK(SamplingData[[#This Row],[Candidate 7]]))),(SamplingData[[#This Row],[Total]]+SamplingData[[#This Row],[Winning Candidate]]-SamplingData[[#This Row],[Candidate 7]])/(SamplingData[[#Totals],[Winning Candidate]]-SamplingData[[#Totals],[Candidate 7]]), 0)</f>
        <v>0</v>
      </c>
      <c r="W35" s="100">
        <f>IF(AND(SamplingData[[#This Row],[Total]]&lt;&gt; 0, NOT(ISBLANK(SamplingData[[#This Row],[Candidate 8]]))),(SamplingData[[#This Row],[Total]]+SamplingData[[#This Row],[Winning Candidate]]-SamplingData[[#This Row],[Candidate 8]])/(SamplingData[[#Totals],[Winning Candidate]]-SamplingData[[#Totals],[Candidate 8]]), 0)</f>
        <v>0</v>
      </c>
      <c r="X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 s="100">
        <f>MAX(SamplingData[[#This Row],[Error Bound (up) - Max. possible relative overstatement - Losing Candidate]:[Error Bound (up) - Max. possible relative overstatement - Candidate 12]])</f>
        <v>2.970735098919158E-3</v>
      </c>
      <c r="AC35" s="100">
        <f>IF(SamplingData[[#This Row],[Max Error Bound (up)]] = 0,0,SamplingData[[#This Row],[Max Error Bound (up)]]/SamplingData[[#Totals],[Max Error Bound (up)]])</f>
        <v>1.2056893294003779E-3</v>
      </c>
      <c r="AD35" s="18">
        <f>SUM($AC$5:AC35)</f>
        <v>3.5815621770908149E-2</v>
      </c>
      <c r="AE35" s="100" t="str">
        <f t="array" ref="AE35">IF(SamplingData[[#This Row],[up/U Selection Probability]] = 0, "Zero", TEXT(SamplingData[[#This Row],[Lower Range]], REPT("0",LEN('General Info'!$B$42))) &amp; " - " &amp; TEXT(SamplingData[[#This Row],[Upper Range]], REPT("0",LEN('General Info'!$B$42))))</f>
        <v>03461 - 03581</v>
      </c>
      <c r="AF35" s="100">
        <f>SamplingData[[#This Row],[Upper Range]]-SamplingData[[#This Row],[Span]]</f>
        <v>3460.9932441507767</v>
      </c>
      <c r="AG35" s="100">
        <f>IF(ISNUMBER('General Info'!$B$42), ((SamplingData[[#This Row],[up/U Selection Probability]]) * 'General Info'!$B$44) - 1, 0)</f>
        <v>119.56893294003778</v>
      </c>
      <c r="AH35" s="100">
        <f>IF(ISNUMBER('General Info'!$B$42), (SamplingData[[#This Row],[Running (cumulative) sum]] * ('General Info'!$B$42 -'General Info'!$B$43 + 1)) + 'General Info'!$B$43 - 1, 0)</f>
        <v>3580.5621770908147</v>
      </c>
      <c r="AI35" s="100" t="str">
        <f>IF(ISERROR(MATCH(SamplingData[[#This Row],[Batch by Type (p)]],SelectedPrecincts[Batch Name], 0)), "", INDEX(SelectedPrecincts[Draw], MATCH(SamplingData[[#This Row],[Batch by Type (p)]],SelectedPrecincts[Batch Name], 0)))</f>
        <v/>
      </c>
      <c r="AJ35" s="101">
        <f>IF(COUNTIF(SelectedPrecincts[Batch Name],SamplingData[[#This Row],[Batch by Type (p)]]) &lt;&gt; 0, COUNTIF(SelectedPrecincts[Batch Name],SamplingData[[#This Row],[Batch by Type (p)]]), 0)</f>
        <v>0</v>
      </c>
    </row>
    <row r="36" spans="1:36" ht="15" customHeight="1" x14ac:dyDescent="0.35">
      <c r="A36" s="98" t="s">
        <v>247</v>
      </c>
      <c r="B36" s="98">
        <v>11</v>
      </c>
      <c r="C36" s="98">
        <v>3</v>
      </c>
      <c r="D36" s="93">
        <v>0</v>
      </c>
      <c r="E36" s="93"/>
      <c r="F36" s="93"/>
      <c r="G36" s="97"/>
      <c r="H36" s="97"/>
      <c r="I36" s="93"/>
      <c r="J36" s="93"/>
      <c r="K36" s="93"/>
      <c r="L36" s="93"/>
      <c r="M36" s="93"/>
      <c r="N36" s="98">
        <v>0</v>
      </c>
      <c r="O36" s="98">
        <v>0</v>
      </c>
      <c r="P36" s="99">
        <f>SUM(SamplingData[[#This Row],[Winning Candidate]:[Under Votes]])</f>
        <v>14</v>
      </c>
      <c r="Q36"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36" s="100">
        <f>IF(AND(SamplingData[[#This Row],[Total]]&lt;&gt; 0, NOT(ISBLANK(SamplingData[[#This Row],[Candidate 3]]))),(SamplingData[[#This Row],[Total]]+SamplingData[[#This Row],[Winning Candidate]]-SamplingData[[#This Row],[Candidate 3]])/(SamplingData[[#Totals],[Winning Candidate]]-SamplingData[[#Totals],[Candidate 3]]), 0)</f>
        <v>1.4111537593136149E-3</v>
      </c>
      <c r="S36" s="100">
        <f>IF(AND(SamplingData[[#This Row],[Total]]&lt;&gt; 0, NOT(ISBLANK(SamplingData[[#This Row],[Candidate 4]]))),(SamplingData[[#This Row],[Total]]+SamplingData[[#This Row],[Winning Candidate]]-SamplingData[[#This Row],[Candidate 4]])/(SamplingData[[#Totals],[Winning Candidate]]-SamplingData[[#Totals],[Candidate 4]]), 0)</f>
        <v>0</v>
      </c>
      <c r="T36" s="100">
        <f>IF(AND(SamplingData[[#This Row],[Total]]&lt;&gt; 0, NOT(ISBLANK(SamplingData[[#This Row],[Candidate 5]]))),(SamplingData[[#This Row],[Total]]+SamplingData[[#This Row],[Winning Candidate]]-SamplingData[[#This Row],[Candidate 5]])/(SamplingData[[#Totals],[Winning Candidate]]-SamplingData[[#Totals],[Candidate 5]]), 0)</f>
        <v>0</v>
      </c>
      <c r="U36" s="100">
        <f>IF(AND(SamplingData[[#This Row],[Total]]&lt;&gt; 0, NOT(ISBLANK(SamplingData[[#This Row],[Candidate 6]]))),(SamplingData[[#This Row],[Total]]+SamplingData[[#This Row],[Losing Candidate]]-SamplingData[[#This Row],[Candidate 6]])/(SamplingData[[#Totals],[Winning Candidate]]-SamplingData[[#Totals],[Candidate 6]]), 0)</f>
        <v>0</v>
      </c>
      <c r="V36" s="100">
        <f>IF(AND(SamplingData[[#This Row],[Total]]&lt;&gt; 0, NOT(ISBLANK(SamplingData[[#This Row],[Candidate 7]]))),(SamplingData[[#This Row],[Total]]+SamplingData[[#This Row],[Winning Candidate]]-SamplingData[[#This Row],[Candidate 7]])/(SamplingData[[#Totals],[Winning Candidate]]-SamplingData[[#Totals],[Candidate 7]]), 0)</f>
        <v>0</v>
      </c>
      <c r="W36" s="100">
        <f>IF(AND(SamplingData[[#This Row],[Total]]&lt;&gt; 0, NOT(ISBLANK(SamplingData[[#This Row],[Candidate 8]]))),(SamplingData[[#This Row],[Total]]+SamplingData[[#This Row],[Winning Candidate]]-SamplingData[[#This Row],[Candidate 8]])/(SamplingData[[#Totals],[Winning Candidate]]-SamplingData[[#Totals],[Candidate 8]]), 0)</f>
        <v>0</v>
      </c>
      <c r="X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 s="100">
        <f>MAX(SamplingData[[#This Row],[Error Bound (up) - Max. possible relative overstatement - Losing Candidate]:[Error Bound (up) - Max. possible relative overstatement - Candidate 12]])</f>
        <v>1.4111537593136149E-3</v>
      </c>
      <c r="AC36" s="100">
        <f>IF(SamplingData[[#This Row],[Max Error Bound (up)]] = 0,0,SamplingData[[#This Row],[Max Error Bound (up)]]/SamplingData[[#Totals],[Max Error Bound (up)]])</f>
        <v>5.7272458603484342E-4</v>
      </c>
      <c r="AD36">
        <f>SUM($AC$5:AC36)</f>
        <v>3.6388346356942991E-2</v>
      </c>
      <c r="AE36" s="100" t="str">
        <f t="array" ref="AE36">IF(SamplingData[[#This Row],[up/U Selection Probability]] = 0, "Zero", TEXT(SamplingData[[#This Row],[Lower Range]], REPT("0",LEN('General Info'!$B$42))) &amp; " - " &amp; TEXT(SamplingData[[#This Row],[Upper Range]], REPT("0",LEN('General Info'!$B$42))))</f>
        <v>03582 - 03638</v>
      </c>
      <c r="AF36" s="100">
        <f>SamplingData[[#This Row],[Upper Range]]-SamplingData[[#This Row],[Span]]</f>
        <v>3581.5621770908151</v>
      </c>
      <c r="AG36" s="100">
        <f>IF(ISNUMBER('General Info'!$B$42), ((SamplingData[[#This Row],[up/U Selection Probability]]) * 'General Info'!$B$44) - 1, 0)</f>
        <v>56.272458603484338</v>
      </c>
      <c r="AH36" s="100">
        <f>IF(ISNUMBER('General Info'!$B$42), (SamplingData[[#This Row],[Running (cumulative) sum]] * ('General Info'!$B$42 -'General Info'!$B$43 + 1)) + 'General Info'!$B$43 - 1, 0)</f>
        <v>3637.8346356942993</v>
      </c>
      <c r="AI36" s="100" t="str">
        <f>IF(ISERROR(MATCH(SamplingData[[#This Row],[Batch by Type (p)]],SelectedPrecincts[Batch Name], 0)), "", INDEX(SelectedPrecincts[Draw], MATCH(SamplingData[[#This Row],[Batch by Type (p)]],SelectedPrecincts[Batch Name], 0)))</f>
        <v/>
      </c>
      <c r="AJ36" s="101">
        <f>IF(COUNTIF(SelectedPrecincts[Batch Name],SamplingData[[#This Row],[Batch by Type (p)]]) &lt;&gt; 0, COUNTIF(SelectedPrecincts[Batch Name],SamplingData[[#This Row],[Batch by Type (p)]]), 0)</f>
        <v>0</v>
      </c>
    </row>
    <row r="37" spans="1:36" ht="15" customHeight="1" x14ac:dyDescent="0.35">
      <c r="A37" s="98" t="s">
        <v>248</v>
      </c>
      <c r="B37" s="98">
        <v>28</v>
      </c>
      <c r="C37" s="98">
        <v>3</v>
      </c>
      <c r="D37" s="93">
        <v>0</v>
      </c>
      <c r="E37" s="93"/>
      <c r="F37" s="93"/>
      <c r="G37" s="97"/>
      <c r="H37" s="97"/>
      <c r="I37" s="93"/>
      <c r="J37" s="93"/>
      <c r="K37" s="93"/>
      <c r="L37" s="93"/>
      <c r="M37" s="93"/>
      <c r="N37" s="98">
        <v>0</v>
      </c>
      <c r="O37" s="98">
        <v>0</v>
      </c>
      <c r="P37" s="99">
        <f>SUM(SamplingData[[#This Row],[Winning Candidate]:[Under Votes]])</f>
        <v>31</v>
      </c>
      <c r="Q37" s="100">
        <f>IF(AND(SamplingData[[#This Row],[Total]]&lt;&gt; 0, NOT(ISBLANK(SamplingData[[#This Row],[Losing Candidate]]))),(SamplingData[[#This Row],[Total]]+SamplingData[[#This Row],[Winning Candidate]]-SamplingData[[#This Row],[Losing Candidate]])/(SamplingData[[#Totals],[Winning Candidate]]-SamplingData[[#Totals],[Losing Candidate]]), 0)</f>
        <v>3.5395992667972948E-3</v>
      </c>
      <c r="R37" s="100">
        <f>IF(AND(SamplingData[[#This Row],[Total]]&lt;&gt; 0, NOT(ISBLANK(SamplingData[[#This Row],[Candidate 3]]))),(SamplingData[[#This Row],[Total]]+SamplingData[[#This Row],[Winning Candidate]]-SamplingData[[#This Row],[Candidate 3]])/(SamplingData[[#Totals],[Winning Candidate]]-SamplingData[[#Totals],[Candidate 3]]), 0)</f>
        <v>3.330322871980131E-3</v>
      </c>
      <c r="S37" s="100">
        <f>IF(AND(SamplingData[[#This Row],[Total]]&lt;&gt; 0, NOT(ISBLANK(SamplingData[[#This Row],[Candidate 4]]))),(SamplingData[[#This Row],[Total]]+SamplingData[[#This Row],[Winning Candidate]]-SamplingData[[#This Row],[Candidate 4]])/(SamplingData[[#Totals],[Winning Candidate]]-SamplingData[[#Totals],[Candidate 4]]), 0)</f>
        <v>0</v>
      </c>
      <c r="T37" s="100">
        <f>IF(AND(SamplingData[[#This Row],[Total]]&lt;&gt; 0, NOT(ISBLANK(SamplingData[[#This Row],[Candidate 5]]))),(SamplingData[[#This Row],[Total]]+SamplingData[[#This Row],[Winning Candidate]]-SamplingData[[#This Row],[Candidate 5]])/(SamplingData[[#Totals],[Winning Candidate]]-SamplingData[[#Totals],[Candidate 5]]), 0)</f>
        <v>0</v>
      </c>
      <c r="U37" s="100">
        <f>IF(AND(SamplingData[[#This Row],[Total]]&lt;&gt; 0, NOT(ISBLANK(SamplingData[[#This Row],[Candidate 6]]))),(SamplingData[[#This Row],[Total]]+SamplingData[[#This Row],[Losing Candidate]]-SamplingData[[#This Row],[Candidate 6]])/(SamplingData[[#Totals],[Winning Candidate]]-SamplingData[[#Totals],[Candidate 6]]), 0)</f>
        <v>0</v>
      </c>
      <c r="V37" s="100">
        <f>IF(AND(SamplingData[[#This Row],[Total]]&lt;&gt; 0, NOT(ISBLANK(SamplingData[[#This Row],[Candidate 7]]))),(SamplingData[[#This Row],[Total]]+SamplingData[[#This Row],[Winning Candidate]]-SamplingData[[#This Row],[Candidate 7]])/(SamplingData[[#Totals],[Winning Candidate]]-SamplingData[[#Totals],[Candidate 7]]), 0)</f>
        <v>0</v>
      </c>
      <c r="W37" s="100">
        <f>IF(AND(SamplingData[[#This Row],[Total]]&lt;&gt; 0, NOT(ISBLANK(SamplingData[[#This Row],[Candidate 8]]))),(SamplingData[[#This Row],[Total]]+SamplingData[[#This Row],[Winning Candidate]]-SamplingData[[#This Row],[Candidate 8]])/(SamplingData[[#Totals],[Winning Candidate]]-SamplingData[[#Totals],[Candidate 8]]), 0)</f>
        <v>0</v>
      </c>
      <c r="X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 s="100">
        <f>MAX(SamplingData[[#This Row],[Error Bound (up) - Max. possible relative overstatement - Losing Candidate]:[Error Bound (up) - Max. possible relative overstatement - Candidate 12]])</f>
        <v>3.5395992667972948E-3</v>
      </c>
      <c r="AC37" s="100">
        <f>IF(SamplingData[[#This Row],[Max Error Bound (up)]] = 0,0,SamplingData[[#This Row],[Max Error Bound (up)]]/SamplingData[[#Totals],[Max Error Bound (up)]])</f>
        <v>1.4365660094983225E-3</v>
      </c>
      <c r="AD37" s="104">
        <f>SUM($AC$5:AC37)</f>
        <v>3.782491236644131E-2</v>
      </c>
      <c r="AE37" s="100" t="str" cm="1">
        <f t="array" ref="AE37">IF(SamplingData[[#This Row],[up/U Selection Probability]] = 0, "Zero", TEXT(SamplingData[[#This Row],[Lower Range]], REPT("0",LEN('General Info'!$B$42))) &amp; " - " &amp; TEXT(SamplingData[[#This Row],[Upper Range]], REPT("0",LEN('General Info'!$B$42))))</f>
        <v>03639 - 03781</v>
      </c>
      <c r="AF37" s="100">
        <f>SamplingData[[#This Row],[Upper Range]]-SamplingData[[#This Row],[Span]]</f>
        <v>3638.8346356942984</v>
      </c>
      <c r="AG37" s="100">
        <f>IF(ISNUMBER('General Info'!$B$42), ((SamplingData[[#This Row],[up/U Selection Probability]]) * 'General Info'!$B$44) - 1, 0)</f>
        <v>142.65660094983224</v>
      </c>
      <c r="AH37" s="100">
        <f>IF(ISNUMBER('General Info'!$B$42), (SamplingData[[#This Row],[Running (cumulative) sum]] * ('General Info'!$B$42 -'General Info'!$B$43 + 1)) + 'General Info'!$B$43 - 1, 0)</f>
        <v>3781.4912366441308</v>
      </c>
      <c r="AI37" s="100" t="str">
        <f>IF(ISERROR(MATCH(SamplingData[[#This Row],[Batch by Type (p)]],SelectedPrecincts[Batch Name], 0)), "", INDEX(SelectedPrecincts[Draw], MATCH(SamplingData[[#This Row],[Batch by Type (p)]],SelectedPrecincts[Batch Name], 0)))</f>
        <v/>
      </c>
      <c r="AJ37" s="101">
        <f>IF(COUNTIF(SelectedPrecincts[Batch Name],SamplingData[[#This Row],[Batch by Type (p)]]) &lt;&gt; 0, COUNTIF(SelectedPrecincts[Batch Name],SamplingData[[#This Row],[Batch by Type (p)]]), 0)</f>
        <v>0</v>
      </c>
    </row>
    <row r="38" spans="1:36" ht="15" customHeight="1" x14ac:dyDescent="0.35">
      <c r="A38" s="98" t="s">
        <v>249</v>
      </c>
      <c r="B38" s="98">
        <v>14</v>
      </c>
      <c r="C38" s="98">
        <v>5</v>
      </c>
      <c r="D38" s="93">
        <v>0</v>
      </c>
      <c r="E38" s="93"/>
      <c r="F38" s="93"/>
      <c r="G38" s="97"/>
      <c r="H38" s="97"/>
      <c r="I38" s="93"/>
      <c r="J38" s="93"/>
      <c r="K38" s="93"/>
      <c r="L38" s="93"/>
      <c r="M38" s="93"/>
      <c r="N38" s="98">
        <v>0</v>
      </c>
      <c r="O38" s="98">
        <v>0</v>
      </c>
      <c r="P38" s="99">
        <f>SUM(SamplingData[[#This Row],[Winning Candidate]:[Under Votes]])</f>
        <v>19</v>
      </c>
      <c r="Q38" s="100">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38" s="100">
        <f>IF(AND(SamplingData[[#This Row],[Total]]&lt;&gt; 0, NOT(ISBLANK(SamplingData[[#This Row],[Candidate 3]]))),(SamplingData[[#This Row],[Total]]+SamplingData[[#This Row],[Winning Candidate]]-SamplingData[[#This Row],[Candidate 3]])/(SamplingData[[#Totals],[Winning Candidate]]-SamplingData[[#Totals],[Candidate 3]]), 0)</f>
        <v>1.8627229622939715E-3</v>
      </c>
      <c r="S38" s="100">
        <f>IF(AND(SamplingData[[#This Row],[Total]]&lt;&gt; 0, NOT(ISBLANK(SamplingData[[#This Row],[Candidate 4]]))),(SamplingData[[#This Row],[Total]]+SamplingData[[#This Row],[Winning Candidate]]-SamplingData[[#This Row],[Candidate 4]])/(SamplingData[[#Totals],[Winning Candidate]]-SamplingData[[#Totals],[Candidate 4]]), 0)</f>
        <v>0</v>
      </c>
      <c r="T38" s="100">
        <f>IF(AND(SamplingData[[#This Row],[Total]]&lt;&gt; 0, NOT(ISBLANK(SamplingData[[#This Row],[Candidate 5]]))),(SamplingData[[#This Row],[Total]]+SamplingData[[#This Row],[Winning Candidate]]-SamplingData[[#This Row],[Candidate 5]])/(SamplingData[[#Totals],[Winning Candidate]]-SamplingData[[#Totals],[Candidate 5]]), 0)</f>
        <v>0</v>
      </c>
      <c r="U38" s="100">
        <f>IF(AND(SamplingData[[#This Row],[Total]]&lt;&gt; 0, NOT(ISBLANK(SamplingData[[#This Row],[Candidate 6]]))),(SamplingData[[#This Row],[Total]]+SamplingData[[#This Row],[Losing Candidate]]-SamplingData[[#This Row],[Candidate 6]])/(SamplingData[[#Totals],[Winning Candidate]]-SamplingData[[#Totals],[Candidate 6]]), 0)</f>
        <v>0</v>
      </c>
      <c r="V38" s="100">
        <f>IF(AND(SamplingData[[#This Row],[Total]]&lt;&gt; 0, NOT(ISBLANK(SamplingData[[#This Row],[Candidate 7]]))),(SamplingData[[#This Row],[Total]]+SamplingData[[#This Row],[Winning Candidate]]-SamplingData[[#This Row],[Candidate 7]])/(SamplingData[[#Totals],[Winning Candidate]]-SamplingData[[#Totals],[Candidate 7]]), 0)</f>
        <v>0</v>
      </c>
      <c r="W38" s="100">
        <f>IF(AND(SamplingData[[#This Row],[Total]]&lt;&gt; 0, NOT(ISBLANK(SamplingData[[#This Row],[Candidate 8]]))),(SamplingData[[#This Row],[Total]]+SamplingData[[#This Row],[Winning Candidate]]-SamplingData[[#This Row],[Candidate 8]])/(SamplingData[[#Totals],[Winning Candidate]]-SamplingData[[#Totals],[Candidate 8]]), 0)</f>
        <v>0</v>
      </c>
      <c r="X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 s="100">
        <f>MAX(SamplingData[[#This Row],[Error Bound (up) - Max. possible relative overstatement - Losing Candidate]:[Error Bound (up) - Max. possible relative overstatement - Candidate 12]])</f>
        <v>1.8627229622939715E-3</v>
      </c>
      <c r="AC38" s="100">
        <f>IF(SamplingData[[#This Row],[Max Error Bound (up)]] = 0,0,SamplingData[[#This Row],[Max Error Bound (up)]]/SamplingData[[#Totals],[Max Error Bound (up)]])</f>
        <v>7.5599645356599335E-4</v>
      </c>
      <c r="AD38" s="104">
        <f>SUM($AC$5:AC38)</f>
        <v>3.8580908820007302E-2</v>
      </c>
      <c r="AE38" s="100" t="str" cm="1">
        <f t="array" ref="AE38">IF(SamplingData[[#This Row],[up/U Selection Probability]] = 0, "Zero", TEXT(SamplingData[[#This Row],[Lower Range]], REPT("0",LEN('General Info'!$B$42))) &amp; " - " &amp; TEXT(SamplingData[[#This Row],[Upper Range]], REPT("0",LEN('General Info'!$B$42))))</f>
        <v>03782 - 03857</v>
      </c>
      <c r="AF38" s="100">
        <f>SamplingData[[#This Row],[Upper Range]]-SamplingData[[#This Row],[Span]]</f>
        <v>3782.4912366441308</v>
      </c>
      <c r="AG38" s="100">
        <f>IF(ISNUMBER('General Info'!$B$42), ((SamplingData[[#This Row],[up/U Selection Probability]]) * 'General Info'!$B$44) - 1, 0)</f>
        <v>74.599645356599339</v>
      </c>
      <c r="AH38" s="100">
        <f>IF(ISNUMBER('General Info'!$B$42), (SamplingData[[#This Row],[Running (cumulative) sum]] * ('General Info'!$B$42 -'General Info'!$B$43 + 1)) + 'General Info'!$B$43 - 1, 0)</f>
        <v>3857.0908820007303</v>
      </c>
      <c r="AI38" s="100" t="str">
        <f>IF(ISERROR(MATCH(SamplingData[[#This Row],[Batch by Type (p)]],SelectedPrecincts[Batch Name], 0)), "", INDEX(SelectedPrecincts[Draw], MATCH(SamplingData[[#This Row],[Batch by Type (p)]],SelectedPrecincts[Batch Name], 0)))</f>
        <v/>
      </c>
      <c r="AJ38" s="101">
        <f>IF(COUNTIF(SelectedPrecincts[Batch Name],SamplingData[[#This Row],[Batch by Type (p)]]) &lt;&gt; 0, COUNTIF(SelectedPrecincts[Batch Name],SamplingData[[#This Row],[Batch by Type (p)]]), 0)</f>
        <v>0</v>
      </c>
    </row>
    <row r="39" spans="1:36" ht="15" customHeight="1" x14ac:dyDescent="0.35">
      <c r="A39" s="98" t="s">
        <v>250</v>
      </c>
      <c r="B39" s="98">
        <v>36</v>
      </c>
      <c r="C39" s="98">
        <v>3</v>
      </c>
      <c r="D39" s="93">
        <v>3</v>
      </c>
      <c r="E39" s="93"/>
      <c r="F39" s="93"/>
      <c r="G39" s="97"/>
      <c r="H39" s="97"/>
      <c r="I39" s="93"/>
      <c r="J39" s="93"/>
      <c r="K39" s="93"/>
      <c r="L39" s="93"/>
      <c r="M39" s="93"/>
      <c r="N39" s="98">
        <v>0</v>
      </c>
      <c r="O39" s="98">
        <v>3</v>
      </c>
      <c r="P39" s="99">
        <f>SUM(SamplingData[[#This Row],[Winning Candidate]:[Under Votes]])</f>
        <v>45</v>
      </c>
      <c r="Q39" s="100">
        <f>IF(AND(SamplingData[[#This Row],[Total]]&lt;&gt; 0, NOT(ISBLANK(SamplingData[[#This Row],[Losing Candidate]]))),(SamplingData[[#This Row],[Total]]+SamplingData[[#This Row],[Winning Candidate]]-SamplingData[[#This Row],[Losing Candidate]])/(SamplingData[[#Totals],[Winning Candidate]]-SamplingData[[#Totals],[Losing Candidate]]), 0)</f>
        <v>4.9301561216105174E-3</v>
      </c>
      <c r="R39" s="100">
        <f>IF(AND(SamplingData[[#This Row],[Total]]&lt;&gt; 0, NOT(ISBLANK(SamplingData[[#This Row],[Candidate 3]]))),(SamplingData[[#This Row],[Total]]+SamplingData[[#This Row],[Winning Candidate]]-SamplingData[[#This Row],[Candidate 3]])/(SamplingData[[#Totals],[Winning Candidate]]-SamplingData[[#Totals],[Candidate 3]]), 0)</f>
        <v>4.4027997290584783E-3</v>
      </c>
      <c r="S39" s="100">
        <f>IF(AND(SamplingData[[#This Row],[Total]]&lt;&gt; 0, NOT(ISBLANK(SamplingData[[#This Row],[Candidate 4]]))),(SamplingData[[#This Row],[Total]]+SamplingData[[#This Row],[Winning Candidate]]-SamplingData[[#This Row],[Candidate 4]])/(SamplingData[[#Totals],[Winning Candidate]]-SamplingData[[#Totals],[Candidate 4]]), 0)</f>
        <v>0</v>
      </c>
      <c r="T39" s="100">
        <f>IF(AND(SamplingData[[#This Row],[Total]]&lt;&gt; 0, NOT(ISBLANK(SamplingData[[#This Row],[Candidate 5]]))),(SamplingData[[#This Row],[Total]]+SamplingData[[#This Row],[Winning Candidate]]-SamplingData[[#This Row],[Candidate 5]])/(SamplingData[[#Totals],[Winning Candidate]]-SamplingData[[#Totals],[Candidate 5]]), 0)</f>
        <v>0</v>
      </c>
      <c r="U39" s="100">
        <f>IF(AND(SamplingData[[#This Row],[Total]]&lt;&gt; 0, NOT(ISBLANK(SamplingData[[#This Row],[Candidate 6]]))),(SamplingData[[#This Row],[Total]]+SamplingData[[#This Row],[Losing Candidate]]-SamplingData[[#This Row],[Candidate 6]])/(SamplingData[[#Totals],[Winning Candidate]]-SamplingData[[#Totals],[Candidate 6]]), 0)</f>
        <v>0</v>
      </c>
      <c r="V39" s="100">
        <f>IF(AND(SamplingData[[#This Row],[Total]]&lt;&gt; 0, NOT(ISBLANK(SamplingData[[#This Row],[Candidate 7]]))),(SamplingData[[#This Row],[Total]]+SamplingData[[#This Row],[Winning Candidate]]-SamplingData[[#This Row],[Candidate 7]])/(SamplingData[[#Totals],[Winning Candidate]]-SamplingData[[#Totals],[Candidate 7]]), 0)</f>
        <v>0</v>
      </c>
      <c r="W39" s="100">
        <f>IF(AND(SamplingData[[#This Row],[Total]]&lt;&gt; 0, NOT(ISBLANK(SamplingData[[#This Row],[Candidate 8]]))),(SamplingData[[#This Row],[Total]]+SamplingData[[#This Row],[Winning Candidate]]-SamplingData[[#This Row],[Candidate 8]])/(SamplingData[[#Totals],[Winning Candidate]]-SamplingData[[#Totals],[Candidate 8]]), 0)</f>
        <v>0</v>
      </c>
      <c r="X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 s="100">
        <f>MAX(SamplingData[[#This Row],[Error Bound (up) - Max. possible relative overstatement - Losing Candidate]:[Error Bound (up) - Max. possible relative overstatement - Candidate 12]])</f>
        <v>4.9301561216105174E-3</v>
      </c>
      <c r="AC39" s="100">
        <f>IF(SamplingData[[#This Row],[Max Error Bound (up)]] = 0,0,SamplingData[[#This Row],[Max Error Bound (up)]]/SamplingData[[#Totals],[Max Error Bound (up)]])</f>
        <v>2.0009312275155208E-3</v>
      </c>
      <c r="AD39" s="104">
        <f>SUM($AC$5:AC39)</f>
        <v>4.058184004752282E-2</v>
      </c>
      <c r="AE39" s="100" t="str" cm="1">
        <f t="array" ref="AE39">IF(SamplingData[[#This Row],[up/U Selection Probability]] = 0, "Zero", TEXT(SamplingData[[#This Row],[Lower Range]], REPT("0",LEN('General Info'!$B$42))) &amp; " - " &amp; TEXT(SamplingData[[#This Row],[Upper Range]], REPT("0",LEN('General Info'!$B$42))))</f>
        <v>03858 - 04057</v>
      </c>
      <c r="AF39" s="100">
        <f>SamplingData[[#This Row],[Upper Range]]-SamplingData[[#This Row],[Span]]</f>
        <v>3858.0908820007298</v>
      </c>
      <c r="AG39" s="100">
        <f>IF(ISNUMBER('General Info'!$B$42), ((SamplingData[[#This Row],[up/U Selection Probability]]) * 'General Info'!$B$44) - 1, 0)</f>
        <v>199.09312275155207</v>
      </c>
      <c r="AH39" s="100">
        <f>IF(ISNUMBER('General Info'!$B$42), (SamplingData[[#This Row],[Running (cumulative) sum]] * ('General Info'!$B$42 -'General Info'!$B$43 + 1)) + 'General Info'!$B$43 - 1, 0)</f>
        <v>4057.1840047522819</v>
      </c>
      <c r="AI39" s="100" t="str">
        <f>IF(ISERROR(MATCH(SamplingData[[#This Row],[Batch by Type (p)]],SelectedPrecincts[Batch Name], 0)), "", INDEX(SelectedPrecincts[Draw], MATCH(SamplingData[[#This Row],[Batch by Type (p)]],SelectedPrecincts[Batch Name], 0)))</f>
        <v/>
      </c>
      <c r="AJ39" s="101">
        <f>IF(COUNTIF(SelectedPrecincts[Batch Name],SamplingData[[#This Row],[Batch by Type (p)]]) &lt;&gt; 0, COUNTIF(SelectedPrecincts[Batch Name],SamplingData[[#This Row],[Batch by Type (p)]]), 0)</f>
        <v>0</v>
      </c>
    </row>
    <row r="40" spans="1:36" ht="15" customHeight="1" x14ac:dyDescent="0.35">
      <c r="A40" s="98" t="s">
        <v>251</v>
      </c>
      <c r="B40" s="98">
        <v>21</v>
      </c>
      <c r="C40" s="98">
        <v>14</v>
      </c>
      <c r="D40" s="93">
        <v>1</v>
      </c>
      <c r="E40" s="93"/>
      <c r="F40" s="93"/>
      <c r="G40" s="97"/>
      <c r="H40" s="97"/>
      <c r="I40" s="93"/>
      <c r="J40" s="93"/>
      <c r="K40" s="93"/>
      <c r="L40" s="93"/>
      <c r="M40" s="93"/>
      <c r="N40" s="98">
        <v>0</v>
      </c>
      <c r="O40" s="98">
        <v>0</v>
      </c>
      <c r="P40" s="99">
        <f>SUM(SamplingData[[#This Row],[Winning Candidate]:[Under Votes]])</f>
        <v>36</v>
      </c>
      <c r="Q40" s="100">
        <f>IF(AND(SamplingData[[#This Row],[Total]]&lt;&gt; 0, NOT(ISBLANK(SamplingData[[#This Row],[Losing Candidate]]))),(SamplingData[[#This Row],[Total]]+SamplingData[[#This Row],[Winning Candidate]]-SamplingData[[#This Row],[Losing Candidate]])/(SamplingData[[#Totals],[Winning Candidate]]-SamplingData[[#Totals],[Losing Candidate]]), 0)</f>
        <v>2.7179065798622086E-3</v>
      </c>
      <c r="R40" s="100">
        <f>IF(AND(SamplingData[[#This Row],[Total]]&lt;&gt; 0, NOT(ISBLANK(SamplingData[[#This Row],[Candidate 3]]))),(SamplingData[[#This Row],[Total]]+SamplingData[[#This Row],[Winning Candidate]]-SamplingData[[#This Row],[Candidate 3]])/(SamplingData[[#Totals],[Winning Candidate]]-SamplingData[[#Totals],[Candidate 3]]), 0)</f>
        <v>3.1609844208624971E-3</v>
      </c>
      <c r="S40" s="100">
        <f>IF(AND(SamplingData[[#This Row],[Total]]&lt;&gt; 0, NOT(ISBLANK(SamplingData[[#This Row],[Candidate 4]]))),(SamplingData[[#This Row],[Total]]+SamplingData[[#This Row],[Winning Candidate]]-SamplingData[[#This Row],[Candidate 4]])/(SamplingData[[#Totals],[Winning Candidate]]-SamplingData[[#Totals],[Candidate 4]]), 0)</f>
        <v>0</v>
      </c>
      <c r="T40" s="100">
        <f>IF(AND(SamplingData[[#This Row],[Total]]&lt;&gt; 0, NOT(ISBLANK(SamplingData[[#This Row],[Candidate 5]]))),(SamplingData[[#This Row],[Total]]+SamplingData[[#This Row],[Winning Candidate]]-SamplingData[[#This Row],[Candidate 5]])/(SamplingData[[#Totals],[Winning Candidate]]-SamplingData[[#Totals],[Candidate 5]]), 0)</f>
        <v>0</v>
      </c>
      <c r="U40" s="100">
        <f>IF(AND(SamplingData[[#This Row],[Total]]&lt;&gt; 0, NOT(ISBLANK(SamplingData[[#This Row],[Candidate 6]]))),(SamplingData[[#This Row],[Total]]+SamplingData[[#This Row],[Losing Candidate]]-SamplingData[[#This Row],[Candidate 6]])/(SamplingData[[#Totals],[Winning Candidate]]-SamplingData[[#Totals],[Candidate 6]]), 0)</f>
        <v>0</v>
      </c>
      <c r="V40" s="100">
        <f>IF(AND(SamplingData[[#This Row],[Total]]&lt;&gt; 0, NOT(ISBLANK(SamplingData[[#This Row],[Candidate 7]]))),(SamplingData[[#This Row],[Total]]+SamplingData[[#This Row],[Winning Candidate]]-SamplingData[[#This Row],[Candidate 7]])/(SamplingData[[#Totals],[Winning Candidate]]-SamplingData[[#Totals],[Candidate 7]]), 0)</f>
        <v>0</v>
      </c>
      <c r="W40" s="100">
        <f>IF(AND(SamplingData[[#This Row],[Total]]&lt;&gt; 0, NOT(ISBLANK(SamplingData[[#This Row],[Candidate 8]]))),(SamplingData[[#This Row],[Total]]+SamplingData[[#This Row],[Winning Candidate]]-SamplingData[[#This Row],[Candidate 8]])/(SamplingData[[#Totals],[Winning Candidate]]-SamplingData[[#Totals],[Candidate 8]]), 0)</f>
        <v>0</v>
      </c>
      <c r="X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 s="100">
        <f>MAX(SamplingData[[#This Row],[Error Bound (up) - Max. possible relative overstatement - Losing Candidate]:[Error Bound (up) - Max. possible relative overstatement - Candidate 12]])</f>
        <v>3.1609844208624971E-3</v>
      </c>
      <c r="AC40" s="100">
        <f>IF(SamplingData[[#This Row],[Max Error Bound (up)]] = 0,0,SamplingData[[#This Row],[Max Error Bound (up)]]/SamplingData[[#Totals],[Max Error Bound (up)]])</f>
        <v>1.2829030727180492E-3</v>
      </c>
      <c r="AD40" s="104">
        <f>SUM($AC$5:AC40)</f>
        <v>4.1864743120240869E-2</v>
      </c>
      <c r="AE40" s="100" t="str" cm="1">
        <f t="array" ref="AE40">IF(SamplingData[[#This Row],[up/U Selection Probability]] = 0, "Zero", TEXT(SamplingData[[#This Row],[Lower Range]], REPT("0",LEN('General Info'!$B$42))) &amp; " - " &amp; TEXT(SamplingData[[#This Row],[Upper Range]], REPT("0",LEN('General Info'!$B$42))))</f>
        <v>04058 - 04185</v>
      </c>
      <c r="AF40" s="100">
        <f>SamplingData[[#This Row],[Upper Range]]-SamplingData[[#This Row],[Span]]</f>
        <v>4058.1840047522815</v>
      </c>
      <c r="AG40" s="100">
        <f>IF(ISNUMBER('General Info'!$B$42), ((SamplingData[[#This Row],[up/U Selection Probability]]) * 'General Info'!$B$44) - 1, 0)</f>
        <v>127.29030727180492</v>
      </c>
      <c r="AH40" s="100">
        <f>IF(ISNUMBER('General Info'!$B$42), (SamplingData[[#This Row],[Running (cumulative) sum]] * ('General Info'!$B$42 -'General Info'!$B$43 + 1)) + 'General Info'!$B$43 - 1, 0)</f>
        <v>4185.4743120240864</v>
      </c>
      <c r="AI40" s="100" t="str">
        <f>IF(ISERROR(MATCH(SamplingData[[#This Row],[Batch by Type (p)]],SelectedPrecincts[Batch Name], 0)), "", INDEX(SelectedPrecincts[Draw], MATCH(SamplingData[[#This Row],[Batch by Type (p)]],SelectedPrecincts[Batch Name], 0)))</f>
        <v/>
      </c>
      <c r="AJ40" s="101">
        <f>IF(COUNTIF(SelectedPrecincts[Batch Name],SamplingData[[#This Row],[Batch by Type (p)]]) &lt;&gt; 0, COUNTIF(SelectedPrecincts[Batch Name],SamplingData[[#This Row],[Batch by Type (p)]]), 0)</f>
        <v>0</v>
      </c>
    </row>
    <row r="41" spans="1:36" ht="15" customHeight="1" x14ac:dyDescent="0.35">
      <c r="A41" s="98" t="s">
        <v>252</v>
      </c>
      <c r="B41" s="98">
        <v>27</v>
      </c>
      <c r="C41" s="98">
        <v>3</v>
      </c>
      <c r="D41" s="93">
        <v>4</v>
      </c>
      <c r="E41" s="93"/>
      <c r="F41" s="93"/>
      <c r="G41" s="97"/>
      <c r="H41" s="97"/>
      <c r="I41" s="93"/>
      <c r="J41" s="93"/>
      <c r="K41" s="93"/>
      <c r="L41" s="93"/>
      <c r="M41" s="93"/>
      <c r="N41" s="98">
        <v>0</v>
      </c>
      <c r="O41" s="98">
        <v>0</v>
      </c>
      <c r="P41" s="99">
        <f>SUM(SamplingData[[#This Row],[Winning Candidate]:[Under Votes]])</f>
        <v>34</v>
      </c>
      <c r="Q41" s="100">
        <f>IF(AND(SamplingData[[#This Row],[Total]]&lt;&gt; 0, NOT(ISBLANK(SamplingData[[#This Row],[Losing Candidate]]))),(SamplingData[[#This Row],[Total]]+SamplingData[[#This Row],[Winning Candidate]]-SamplingData[[#This Row],[Losing Candidate]])/(SamplingData[[#Totals],[Winning Candidate]]-SamplingData[[#Totals],[Losing Candidate]]), 0)</f>
        <v>3.6660135263257695E-3</v>
      </c>
      <c r="R41" s="100">
        <f>IF(AND(SamplingData[[#This Row],[Total]]&lt;&gt; 0, NOT(ISBLANK(SamplingData[[#This Row],[Candidate 3]]))),(SamplingData[[#This Row],[Total]]+SamplingData[[#This Row],[Winning Candidate]]-SamplingData[[#This Row],[Candidate 3]])/(SamplingData[[#Totals],[Winning Candidate]]-SamplingData[[#Totals],[Candidate 3]]), 0)</f>
        <v>3.2174305712350418E-3</v>
      </c>
      <c r="S41" s="100">
        <f>IF(AND(SamplingData[[#This Row],[Total]]&lt;&gt; 0, NOT(ISBLANK(SamplingData[[#This Row],[Candidate 4]]))),(SamplingData[[#This Row],[Total]]+SamplingData[[#This Row],[Winning Candidate]]-SamplingData[[#This Row],[Candidate 4]])/(SamplingData[[#Totals],[Winning Candidate]]-SamplingData[[#Totals],[Candidate 4]]), 0)</f>
        <v>0</v>
      </c>
      <c r="T41" s="100">
        <f>IF(AND(SamplingData[[#This Row],[Total]]&lt;&gt; 0, NOT(ISBLANK(SamplingData[[#This Row],[Candidate 5]]))),(SamplingData[[#This Row],[Total]]+SamplingData[[#This Row],[Winning Candidate]]-SamplingData[[#This Row],[Candidate 5]])/(SamplingData[[#Totals],[Winning Candidate]]-SamplingData[[#Totals],[Candidate 5]]), 0)</f>
        <v>0</v>
      </c>
      <c r="U41" s="100">
        <f>IF(AND(SamplingData[[#This Row],[Total]]&lt;&gt; 0, NOT(ISBLANK(SamplingData[[#This Row],[Candidate 6]]))),(SamplingData[[#This Row],[Total]]+SamplingData[[#This Row],[Losing Candidate]]-SamplingData[[#This Row],[Candidate 6]])/(SamplingData[[#Totals],[Winning Candidate]]-SamplingData[[#Totals],[Candidate 6]]), 0)</f>
        <v>0</v>
      </c>
      <c r="V41" s="100">
        <f>IF(AND(SamplingData[[#This Row],[Total]]&lt;&gt; 0, NOT(ISBLANK(SamplingData[[#This Row],[Candidate 7]]))),(SamplingData[[#This Row],[Total]]+SamplingData[[#This Row],[Winning Candidate]]-SamplingData[[#This Row],[Candidate 7]])/(SamplingData[[#Totals],[Winning Candidate]]-SamplingData[[#Totals],[Candidate 7]]), 0)</f>
        <v>0</v>
      </c>
      <c r="W41" s="100">
        <f>IF(AND(SamplingData[[#This Row],[Total]]&lt;&gt; 0, NOT(ISBLANK(SamplingData[[#This Row],[Candidate 8]]))),(SamplingData[[#This Row],[Total]]+SamplingData[[#This Row],[Winning Candidate]]-SamplingData[[#This Row],[Candidate 8]])/(SamplingData[[#Totals],[Winning Candidate]]-SamplingData[[#Totals],[Candidate 8]]), 0)</f>
        <v>0</v>
      </c>
      <c r="X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 s="100">
        <f>MAX(SamplingData[[#This Row],[Error Bound (up) - Max. possible relative overstatement - Losing Candidate]:[Error Bound (up) - Max. possible relative overstatement - Candidate 12]])</f>
        <v>3.6660135263257695E-3</v>
      </c>
      <c r="AC41" s="100">
        <f>IF(SamplingData[[#This Row],[Max Error Bound (up)]] = 0,0,SamplingData[[#This Row],[Max Error Bound (up)]]/SamplingData[[#Totals],[Max Error Bound (up)]])</f>
        <v>1.487871938408977E-3</v>
      </c>
      <c r="AD41" s="104">
        <f>SUM($AC$5:AC41)</f>
        <v>4.3352615058649846E-2</v>
      </c>
      <c r="AE41" s="100" t="str" cm="1">
        <f t="array" ref="AE41">IF(SamplingData[[#This Row],[up/U Selection Probability]] = 0, "Zero", TEXT(SamplingData[[#This Row],[Lower Range]], REPT("0",LEN('General Info'!$B$42))) &amp; " - " &amp; TEXT(SamplingData[[#This Row],[Upper Range]], REPT("0",LEN('General Info'!$B$42))))</f>
        <v>04186 - 04334</v>
      </c>
      <c r="AF41" s="100">
        <f>SamplingData[[#This Row],[Upper Range]]-SamplingData[[#This Row],[Span]]</f>
        <v>4186.4743120240864</v>
      </c>
      <c r="AG41" s="100">
        <f>IF(ISNUMBER('General Info'!$B$42), ((SamplingData[[#This Row],[up/U Selection Probability]]) * 'General Info'!$B$44) - 1, 0)</f>
        <v>147.78719384089771</v>
      </c>
      <c r="AH41" s="100">
        <f>IF(ISNUMBER('General Info'!$B$42), (SamplingData[[#This Row],[Running (cumulative) sum]] * ('General Info'!$B$42 -'General Info'!$B$43 + 1)) + 'General Info'!$B$43 - 1, 0)</f>
        <v>4334.2615058649844</v>
      </c>
      <c r="AI41" s="100" t="str">
        <f>IF(ISERROR(MATCH(SamplingData[[#This Row],[Batch by Type (p)]],SelectedPrecincts[Batch Name], 0)), "", INDEX(SelectedPrecincts[Draw], MATCH(SamplingData[[#This Row],[Batch by Type (p)]],SelectedPrecincts[Batch Name], 0)))</f>
        <v/>
      </c>
      <c r="AJ41" s="101">
        <f>IF(COUNTIF(SelectedPrecincts[Batch Name],SamplingData[[#This Row],[Batch by Type (p)]]) &lt;&gt; 0, COUNTIF(SelectedPrecincts[Batch Name],SamplingData[[#This Row],[Batch by Type (p)]]), 0)</f>
        <v>0</v>
      </c>
    </row>
    <row r="42" spans="1:36" ht="15" customHeight="1" x14ac:dyDescent="0.35">
      <c r="A42" s="98" t="s">
        <v>253</v>
      </c>
      <c r="B42" s="98">
        <v>15</v>
      </c>
      <c r="C42" s="98">
        <v>10</v>
      </c>
      <c r="D42" s="93">
        <v>6</v>
      </c>
      <c r="E42" s="93"/>
      <c r="F42" s="93"/>
      <c r="G42" s="97"/>
      <c r="H42" s="97"/>
      <c r="I42" s="93"/>
      <c r="J42" s="93"/>
      <c r="K42" s="93"/>
      <c r="L42" s="93"/>
      <c r="M42" s="93"/>
      <c r="N42" s="98">
        <v>0</v>
      </c>
      <c r="O42" s="98">
        <v>0</v>
      </c>
      <c r="P42" s="99">
        <f>SUM(SamplingData[[#This Row],[Winning Candidate]:[Under Votes]])</f>
        <v>31</v>
      </c>
      <c r="Q42" s="100">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42" s="100">
        <f>IF(AND(SamplingData[[#This Row],[Total]]&lt;&gt; 0, NOT(ISBLANK(SamplingData[[#This Row],[Candidate 3]]))),(SamplingData[[#This Row],[Total]]+SamplingData[[#This Row],[Winning Candidate]]-SamplingData[[#This Row],[Candidate 3]])/(SamplingData[[#Totals],[Winning Candidate]]-SamplingData[[#Totals],[Candidate 3]]), 0)</f>
        <v>2.2578460149017838E-3</v>
      </c>
      <c r="S42" s="100">
        <f>IF(AND(SamplingData[[#This Row],[Total]]&lt;&gt; 0, NOT(ISBLANK(SamplingData[[#This Row],[Candidate 4]]))),(SamplingData[[#This Row],[Total]]+SamplingData[[#This Row],[Winning Candidate]]-SamplingData[[#This Row],[Candidate 4]])/(SamplingData[[#Totals],[Winning Candidate]]-SamplingData[[#Totals],[Candidate 4]]), 0)</f>
        <v>0</v>
      </c>
      <c r="T42" s="100">
        <f>IF(AND(SamplingData[[#This Row],[Total]]&lt;&gt; 0, NOT(ISBLANK(SamplingData[[#This Row],[Candidate 5]]))),(SamplingData[[#This Row],[Total]]+SamplingData[[#This Row],[Winning Candidate]]-SamplingData[[#This Row],[Candidate 5]])/(SamplingData[[#Totals],[Winning Candidate]]-SamplingData[[#Totals],[Candidate 5]]), 0)</f>
        <v>0</v>
      </c>
      <c r="U42" s="100">
        <f>IF(AND(SamplingData[[#This Row],[Total]]&lt;&gt; 0, NOT(ISBLANK(SamplingData[[#This Row],[Candidate 6]]))),(SamplingData[[#This Row],[Total]]+SamplingData[[#This Row],[Losing Candidate]]-SamplingData[[#This Row],[Candidate 6]])/(SamplingData[[#Totals],[Winning Candidate]]-SamplingData[[#Totals],[Candidate 6]]), 0)</f>
        <v>0</v>
      </c>
      <c r="V42" s="100">
        <f>IF(AND(SamplingData[[#This Row],[Total]]&lt;&gt; 0, NOT(ISBLANK(SamplingData[[#This Row],[Candidate 7]]))),(SamplingData[[#This Row],[Total]]+SamplingData[[#This Row],[Winning Candidate]]-SamplingData[[#This Row],[Candidate 7]])/(SamplingData[[#Totals],[Winning Candidate]]-SamplingData[[#Totals],[Candidate 7]]), 0)</f>
        <v>0</v>
      </c>
      <c r="W42" s="100">
        <f>IF(AND(SamplingData[[#This Row],[Total]]&lt;&gt; 0, NOT(ISBLANK(SamplingData[[#This Row],[Candidate 8]]))),(SamplingData[[#This Row],[Total]]+SamplingData[[#This Row],[Winning Candidate]]-SamplingData[[#This Row],[Candidate 8]])/(SamplingData[[#Totals],[Winning Candidate]]-SamplingData[[#Totals],[Candidate 8]]), 0)</f>
        <v>0</v>
      </c>
      <c r="X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 s="100">
        <f>MAX(SamplingData[[#This Row],[Error Bound (up) - Max. possible relative overstatement - Losing Candidate]:[Error Bound (up) - Max. possible relative overstatement - Candidate 12]])</f>
        <v>2.2754566715125464E-3</v>
      </c>
      <c r="AC42" s="100">
        <f>IF(SamplingData[[#This Row],[Max Error Bound (up)]] = 0,0,SamplingData[[#This Row],[Max Error Bound (up)]]/SamplingData[[#Totals],[Max Error Bound (up)]])</f>
        <v>9.2350672039177872E-4</v>
      </c>
      <c r="AD42" s="104">
        <f>SUM($AC$5:AC42)</f>
        <v>4.4276121779041624E-2</v>
      </c>
      <c r="AE42" s="100" t="str" cm="1">
        <f t="array" ref="AE42">IF(SamplingData[[#This Row],[up/U Selection Probability]] = 0, "Zero", TEXT(SamplingData[[#This Row],[Lower Range]], REPT("0",LEN('General Info'!$B$42))) &amp; " - " &amp; TEXT(SamplingData[[#This Row],[Upper Range]], REPT("0",LEN('General Info'!$B$42))))</f>
        <v>04335 - 04427</v>
      </c>
      <c r="AF42" s="100">
        <f>SamplingData[[#This Row],[Upper Range]]-SamplingData[[#This Row],[Span]]</f>
        <v>4335.2615058649844</v>
      </c>
      <c r="AG42" s="100">
        <f>IF(ISNUMBER('General Info'!$B$42), ((SamplingData[[#This Row],[up/U Selection Probability]]) * 'General Info'!$B$44) - 1, 0)</f>
        <v>91.350672039177866</v>
      </c>
      <c r="AH42" s="100">
        <f>IF(ISNUMBER('General Info'!$B$42), (SamplingData[[#This Row],[Running (cumulative) sum]] * ('General Info'!$B$42 -'General Info'!$B$43 + 1)) + 'General Info'!$B$43 - 1, 0)</f>
        <v>4426.6121779041623</v>
      </c>
      <c r="AI42" s="100" t="str">
        <f>IF(ISERROR(MATCH(SamplingData[[#This Row],[Batch by Type (p)]],SelectedPrecincts[Batch Name], 0)), "", INDEX(SelectedPrecincts[Draw], MATCH(SamplingData[[#This Row],[Batch by Type (p)]],SelectedPrecincts[Batch Name], 0)))</f>
        <v/>
      </c>
      <c r="AJ42" s="101">
        <f>IF(COUNTIF(SelectedPrecincts[Batch Name],SamplingData[[#This Row],[Batch by Type (p)]]) &lt;&gt; 0, COUNTIF(SelectedPrecincts[Batch Name],SamplingData[[#This Row],[Batch by Type (p)]]), 0)</f>
        <v>0</v>
      </c>
    </row>
    <row r="43" spans="1:36" ht="15" customHeight="1" x14ac:dyDescent="0.35">
      <c r="A43" s="98" t="s">
        <v>254</v>
      </c>
      <c r="B43" s="98">
        <v>9</v>
      </c>
      <c r="C43" s="98">
        <v>2</v>
      </c>
      <c r="D43" s="93">
        <v>1</v>
      </c>
      <c r="E43" s="93"/>
      <c r="F43" s="93"/>
      <c r="G43" s="97"/>
      <c r="H43" s="97"/>
      <c r="I43" s="93"/>
      <c r="J43" s="93"/>
      <c r="K43" s="93"/>
      <c r="L43" s="93"/>
      <c r="M43" s="93"/>
      <c r="N43" s="98">
        <v>0</v>
      </c>
      <c r="O43" s="98">
        <v>0</v>
      </c>
      <c r="P43" s="99">
        <f>SUM(SamplingData[[#This Row],[Winning Candidate]:[Under Votes]])</f>
        <v>12</v>
      </c>
      <c r="Q43" s="100">
        <f>IF(AND(SamplingData[[#This Row],[Total]]&lt;&gt; 0, NOT(ISBLANK(SamplingData[[#This Row],[Losing Candidate]]))),(SamplingData[[#This Row],[Total]]+SamplingData[[#This Row],[Winning Candidate]]-SamplingData[[#This Row],[Losing Candidate]])/(SamplingData[[#Totals],[Winning Candidate]]-SamplingData[[#Totals],[Losing Candidate]]), 0)</f>
        <v>1.2009354655205108E-3</v>
      </c>
      <c r="R43" s="100">
        <f>IF(AND(SamplingData[[#This Row],[Total]]&lt;&gt; 0, NOT(ISBLANK(SamplingData[[#This Row],[Candidate 3]]))),(SamplingData[[#This Row],[Total]]+SamplingData[[#This Row],[Winning Candidate]]-SamplingData[[#This Row],[Candidate 3]])/(SamplingData[[#Totals],[Winning Candidate]]-SamplingData[[#Totals],[Candidate 3]]), 0)</f>
        <v>1.1289230074508919E-3</v>
      </c>
      <c r="S43" s="100">
        <f>IF(AND(SamplingData[[#This Row],[Total]]&lt;&gt; 0, NOT(ISBLANK(SamplingData[[#This Row],[Candidate 4]]))),(SamplingData[[#This Row],[Total]]+SamplingData[[#This Row],[Winning Candidate]]-SamplingData[[#This Row],[Candidate 4]])/(SamplingData[[#Totals],[Winning Candidate]]-SamplingData[[#Totals],[Candidate 4]]), 0)</f>
        <v>0</v>
      </c>
      <c r="T43" s="100">
        <f>IF(AND(SamplingData[[#This Row],[Total]]&lt;&gt; 0, NOT(ISBLANK(SamplingData[[#This Row],[Candidate 5]]))),(SamplingData[[#This Row],[Total]]+SamplingData[[#This Row],[Winning Candidate]]-SamplingData[[#This Row],[Candidate 5]])/(SamplingData[[#Totals],[Winning Candidate]]-SamplingData[[#Totals],[Candidate 5]]), 0)</f>
        <v>0</v>
      </c>
      <c r="U43" s="100">
        <f>IF(AND(SamplingData[[#This Row],[Total]]&lt;&gt; 0, NOT(ISBLANK(SamplingData[[#This Row],[Candidate 6]]))),(SamplingData[[#This Row],[Total]]+SamplingData[[#This Row],[Losing Candidate]]-SamplingData[[#This Row],[Candidate 6]])/(SamplingData[[#Totals],[Winning Candidate]]-SamplingData[[#Totals],[Candidate 6]]), 0)</f>
        <v>0</v>
      </c>
      <c r="V43" s="100">
        <f>IF(AND(SamplingData[[#This Row],[Total]]&lt;&gt; 0, NOT(ISBLANK(SamplingData[[#This Row],[Candidate 7]]))),(SamplingData[[#This Row],[Total]]+SamplingData[[#This Row],[Winning Candidate]]-SamplingData[[#This Row],[Candidate 7]])/(SamplingData[[#Totals],[Winning Candidate]]-SamplingData[[#Totals],[Candidate 7]]), 0)</f>
        <v>0</v>
      </c>
      <c r="W43" s="100">
        <f>IF(AND(SamplingData[[#This Row],[Total]]&lt;&gt; 0, NOT(ISBLANK(SamplingData[[#This Row],[Candidate 8]]))),(SamplingData[[#This Row],[Total]]+SamplingData[[#This Row],[Winning Candidate]]-SamplingData[[#This Row],[Candidate 8]])/(SamplingData[[#Totals],[Winning Candidate]]-SamplingData[[#Totals],[Candidate 8]]), 0)</f>
        <v>0</v>
      </c>
      <c r="X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 s="100">
        <f>MAX(SamplingData[[#This Row],[Error Bound (up) - Max. possible relative overstatement - Losing Candidate]:[Error Bound (up) - Max. possible relative overstatement - Candidate 12]])</f>
        <v>1.2009354655205108E-3</v>
      </c>
      <c r="AC43" s="100">
        <f>IF(SamplingData[[#This Row],[Max Error Bound (up)]] = 0,0,SamplingData[[#This Row],[Max Error Bound (up)]]/SamplingData[[#Totals],[Max Error Bound (up)]])</f>
        <v>4.8740632465121662E-4</v>
      </c>
      <c r="AD43" s="104">
        <f>SUM($AC$5:AC43)</f>
        <v>4.4763528103692843E-2</v>
      </c>
      <c r="AE43" s="100" t="str" cm="1">
        <f t="array" ref="AE43">IF(SamplingData[[#This Row],[up/U Selection Probability]] = 0, "Zero", TEXT(SamplingData[[#This Row],[Lower Range]], REPT("0",LEN('General Info'!$B$42))) &amp; " - " &amp; TEXT(SamplingData[[#This Row],[Upper Range]], REPT("0",LEN('General Info'!$B$42))))</f>
        <v>04428 - 04475</v>
      </c>
      <c r="AF43" s="100">
        <f>SamplingData[[#This Row],[Upper Range]]-SamplingData[[#This Row],[Span]]</f>
        <v>4427.6121779041623</v>
      </c>
      <c r="AG43" s="100">
        <f>IF(ISNUMBER('General Info'!$B$42), ((SamplingData[[#This Row],[up/U Selection Probability]]) * 'General Info'!$B$44) - 1, 0)</f>
        <v>47.740632465121664</v>
      </c>
      <c r="AH43" s="100">
        <f>IF(ISNUMBER('General Info'!$B$42), (SamplingData[[#This Row],[Running (cumulative) sum]] * ('General Info'!$B$42 -'General Info'!$B$43 + 1)) + 'General Info'!$B$43 - 1, 0)</f>
        <v>4475.3528103692843</v>
      </c>
      <c r="AI43" s="100" t="str">
        <f>IF(ISERROR(MATCH(SamplingData[[#This Row],[Batch by Type (p)]],SelectedPrecincts[Batch Name], 0)), "", INDEX(SelectedPrecincts[Draw], MATCH(SamplingData[[#This Row],[Batch by Type (p)]],SelectedPrecincts[Batch Name], 0)))</f>
        <v/>
      </c>
      <c r="AJ43" s="101">
        <f>IF(COUNTIF(SelectedPrecincts[Batch Name],SamplingData[[#This Row],[Batch by Type (p)]]) &lt;&gt; 0, COUNTIF(SelectedPrecincts[Batch Name],SamplingData[[#This Row],[Batch by Type (p)]]), 0)</f>
        <v>0</v>
      </c>
    </row>
    <row r="44" spans="1:36" ht="15" customHeight="1" x14ac:dyDescent="0.35">
      <c r="A44" s="98" t="s">
        <v>255</v>
      </c>
      <c r="B44" s="98">
        <v>27</v>
      </c>
      <c r="C44" s="98">
        <v>6</v>
      </c>
      <c r="D44" s="93">
        <v>2</v>
      </c>
      <c r="E44" s="93"/>
      <c r="F44" s="93"/>
      <c r="G44" s="97"/>
      <c r="H44" s="97"/>
      <c r="I44" s="93"/>
      <c r="J44" s="93"/>
      <c r="K44" s="93"/>
      <c r="L44" s="93"/>
      <c r="M44" s="93"/>
      <c r="N44" s="98">
        <v>0</v>
      </c>
      <c r="O44" s="98">
        <v>1</v>
      </c>
      <c r="P44" s="99">
        <f>SUM(SamplingData[[#This Row],[Winning Candidate]:[Under Votes]])</f>
        <v>36</v>
      </c>
      <c r="Q44" s="100">
        <f>IF(AND(SamplingData[[#This Row],[Total]]&lt;&gt; 0, NOT(ISBLANK(SamplingData[[#This Row],[Losing Candidate]]))),(SamplingData[[#This Row],[Total]]+SamplingData[[#This Row],[Winning Candidate]]-SamplingData[[#This Row],[Losing Candidate]])/(SamplingData[[#Totals],[Winning Candidate]]-SamplingData[[#Totals],[Losing Candidate]]), 0)</f>
        <v>3.6028063965615319E-3</v>
      </c>
      <c r="R44" s="100">
        <f>IF(AND(SamplingData[[#This Row],[Total]]&lt;&gt; 0, NOT(ISBLANK(SamplingData[[#This Row],[Candidate 3]]))),(SamplingData[[#This Row],[Total]]+SamplingData[[#This Row],[Winning Candidate]]-SamplingData[[#This Row],[Candidate 3]])/(SamplingData[[#Totals],[Winning Candidate]]-SamplingData[[#Totals],[Candidate 3]]), 0)</f>
        <v>3.4432151727252203E-3</v>
      </c>
      <c r="S44" s="100">
        <f>IF(AND(SamplingData[[#This Row],[Total]]&lt;&gt; 0, NOT(ISBLANK(SamplingData[[#This Row],[Candidate 4]]))),(SamplingData[[#This Row],[Total]]+SamplingData[[#This Row],[Winning Candidate]]-SamplingData[[#This Row],[Candidate 4]])/(SamplingData[[#Totals],[Winning Candidate]]-SamplingData[[#Totals],[Candidate 4]]), 0)</f>
        <v>0</v>
      </c>
      <c r="T44" s="100">
        <f>IF(AND(SamplingData[[#This Row],[Total]]&lt;&gt; 0, NOT(ISBLANK(SamplingData[[#This Row],[Candidate 5]]))),(SamplingData[[#This Row],[Total]]+SamplingData[[#This Row],[Winning Candidate]]-SamplingData[[#This Row],[Candidate 5]])/(SamplingData[[#Totals],[Winning Candidate]]-SamplingData[[#Totals],[Candidate 5]]), 0)</f>
        <v>0</v>
      </c>
      <c r="U44" s="100">
        <f>IF(AND(SamplingData[[#This Row],[Total]]&lt;&gt; 0, NOT(ISBLANK(SamplingData[[#This Row],[Candidate 6]]))),(SamplingData[[#This Row],[Total]]+SamplingData[[#This Row],[Losing Candidate]]-SamplingData[[#This Row],[Candidate 6]])/(SamplingData[[#Totals],[Winning Candidate]]-SamplingData[[#Totals],[Candidate 6]]), 0)</f>
        <v>0</v>
      </c>
      <c r="V44" s="100">
        <f>IF(AND(SamplingData[[#This Row],[Total]]&lt;&gt; 0, NOT(ISBLANK(SamplingData[[#This Row],[Candidate 7]]))),(SamplingData[[#This Row],[Total]]+SamplingData[[#This Row],[Winning Candidate]]-SamplingData[[#This Row],[Candidate 7]])/(SamplingData[[#Totals],[Winning Candidate]]-SamplingData[[#Totals],[Candidate 7]]), 0)</f>
        <v>0</v>
      </c>
      <c r="W44" s="100">
        <f>IF(AND(SamplingData[[#This Row],[Total]]&lt;&gt; 0, NOT(ISBLANK(SamplingData[[#This Row],[Candidate 8]]))),(SamplingData[[#This Row],[Total]]+SamplingData[[#This Row],[Winning Candidate]]-SamplingData[[#This Row],[Candidate 8]])/(SamplingData[[#Totals],[Winning Candidate]]-SamplingData[[#Totals],[Candidate 8]]), 0)</f>
        <v>0</v>
      </c>
      <c r="X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 s="100">
        <f>MAX(SamplingData[[#This Row],[Error Bound (up) - Max. possible relative overstatement - Losing Candidate]:[Error Bound (up) - Max. possible relative overstatement - Candidate 12]])</f>
        <v>3.6028063965615319E-3</v>
      </c>
      <c r="AC44" s="100">
        <f>IF(SamplingData[[#This Row],[Max Error Bound (up)]] = 0,0,SamplingData[[#This Row],[Max Error Bound (up)]]/SamplingData[[#Totals],[Max Error Bound (up)]])</f>
        <v>1.4622189739536497E-3</v>
      </c>
      <c r="AD44" s="104">
        <f>SUM($AC$5:AC44)</f>
        <v>4.6225747077646491E-2</v>
      </c>
      <c r="AE44" s="100" t="str" cm="1">
        <f t="array" ref="AE44">IF(SamplingData[[#This Row],[up/U Selection Probability]] = 0, "Zero", TEXT(SamplingData[[#This Row],[Lower Range]], REPT("0",LEN('General Info'!$B$42))) &amp; " - " &amp; TEXT(SamplingData[[#This Row],[Upper Range]], REPT("0",LEN('General Info'!$B$42))))</f>
        <v>04476 - 04622</v>
      </c>
      <c r="AF44" s="100">
        <f>SamplingData[[#This Row],[Upper Range]]-SamplingData[[#This Row],[Span]]</f>
        <v>4476.3528103692843</v>
      </c>
      <c r="AG44" s="100">
        <f>IF(ISNUMBER('General Info'!$B$42), ((SamplingData[[#This Row],[up/U Selection Probability]]) * 'General Info'!$B$44) - 1, 0)</f>
        <v>145.22189739536498</v>
      </c>
      <c r="AH44" s="100">
        <f>IF(ISNUMBER('General Info'!$B$42), (SamplingData[[#This Row],[Running (cumulative) sum]] * ('General Info'!$B$42 -'General Info'!$B$43 + 1)) + 'General Info'!$B$43 - 1, 0)</f>
        <v>4621.5747077646492</v>
      </c>
      <c r="AI44" s="100" t="str">
        <f>IF(ISERROR(MATCH(SamplingData[[#This Row],[Batch by Type (p)]],SelectedPrecincts[Batch Name], 0)), "", INDEX(SelectedPrecincts[Draw], MATCH(SamplingData[[#This Row],[Batch by Type (p)]],SelectedPrecincts[Batch Name], 0)))</f>
        <v/>
      </c>
      <c r="AJ44" s="101">
        <f>IF(COUNTIF(SelectedPrecincts[Batch Name],SamplingData[[#This Row],[Batch by Type (p)]]) &lt;&gt; 0, COUNTIF(SelectedPrecincts[Batch Name],SamplingData[[#This Row],[Batch by Type (p)]]), 0)</f>
        <v>0</v>
      </c>
    </row>
    <row r="45" spans="1:36" ht="15" customHeight="1" x14ac:dyDescent="0.35">
      <c r="A45" s="98" t="s">
        <v>256</v>
      </c>
      <c r="B45" s="98">
        <v>48</v>
      </c>
      <c r="C45" s="98">
        <v>2</v>
      </c>
      <c r="D45" s="93">
        <v>3</v>
      </c>
      <c r="E45" s="93"/>
      <c r="F45" s="93"/>
      <c r="G45" s="97"/>
      <c r="H45" s="97"/>
      <c r="I45" s="93"/>
      <c r="J45" s="93"/>
      <c r="K45" s="93"/>
      <c r="L45" s="93"/>
      <c r="M45" s="93"/>
      <c r="N45" s="98">
        <v>0</v>
      </c>
      <c r="O45" s="98">
        <v>0</v>
      </c>
      <c r="P45" s="99">
        <f>SUM(SamplingData[[#This Row],[Winning Candidate]:[Under Votes]])</f>
        <v>53</v>
      </c>
      <c r="Q45" s="100">
        <f>IF(AND(SamplingData[[#This Row],[Total]]&lt;&gt; 0, NOT(ISBLANK(SamplingData[[#This Row],[Losing Candidate]]))),(SamplingData[[#This Row],[Total]]+SamplingData[[#This Row],[Winning Candidate]]-SamplingData[[#This Row],[Losing Candidate]])/(SamplingData[[#Totals],[Winning Candidate]]-SamplingData[[#Totals],[Losing Candidate]]), 0)</f>
        <v>6.2575058466595029E-3</v>
      </c>
      <c r="R45" s="100">
        <f>IF(AND(SamplingData[[#This Row],[Total]]&lt;&gt; 0, NOT(ISBLANK(SamplingData[[#This Row],[Candidate 3]]))),(SamplingData[[#This Row],[Total]]+SamplingData[[#This Row],[Winning Candidate]]-SamplingData[[#This Row],[Candidate 3]])/(SamplingData[[#Totals],[Winning Candidate]]-SamplingData[[#Totals],[Candidate 3]]), 0)</f>
        <v>5.5317227365093702E-3</v>
      </c>
      <c r="S45" s="100">
        <f>IF(AND(SamplingData[[#This Row],[Total]]&lt;&gt; 0, NOT(ISBLANK(SamplingData[[#This Row],[Candidate 4]]))),(SamplingData[[#This Row],[Total]]+SamplingData[[#This Row],[Winning Candidate]]-SamplingData[[#This Row],[Candidate 4]])/(SamplingData[[#Totals],[Winning Candidate]]-SamplingData[[#Totals],[Candidate 4]]), 0)</f>
        <v>0</v>
      </c>
      <c r="T45" s="100">
        <f>IF(AND(SamplingData[[#This Row],[Total]]&lt;&gt; 0, NOT(ISBLANK(SamplingData[[#This Row],[Candidate 5]]))),(SamplingData[[#This Row],[Total]]+SamplingData[[#This Row],[Winning Candidate]]-SamplingData[[#This Row],[Candidate 5]])/(SamplingData[[#Totals],[Winning Candidate]]-SamplingData[[#Totals],[Candidate 5]]), 0)</f>
        <v>0</v>
      </c>
      <c r="U45" s="100">
        <f>IF(AND(SamplingData[[#This Row],[Total]]&lt;&gt; 0, NOT(ISBLANK(SamplingData[[#This Row],[Candidate 6]]))),(SamplingData[[#This Row],[Total]]+SamplingData[[#This Row],[Losing Candidate]]-SamplingData[[#This Row],[Candidate 6]])/(SamplingData[[#Totals],[Winning Candidate]]-SamplingData[[#Totals],[Candidate 6]]), 0)</f>
        <v>0</v>
      </c>
      <c r="V45" s="100">
        <f>IF(AND(SamplingData[[#This Row],[Total]]&lt;&gt; 0, NOT(ISBLANK(SamplingData[[#This Row],[Candidate 7]]))),(SamplingData[[#This Row],[Total]]+SamplingData[[#This Row],[Winning Candidate]]-SamplingData[[#This Row],[Candidate 7]])/(SamplingData[[#Totals],[Winning Candidate]]-SamplingData[[#Totals],[Candidate 7]]), 0)</f>
        <v>0</v>
      </c>
      <c r="W45" s="100">
        <f>IF(AND(SamplingData[[#This Row],[Total]]&lt;&gt; 0, NOT(ISBLANK(SamplingData[[#This Row],[Candidate 8]]))),(SamplingData[[#This Row],[Total]]+SamplingData[[#This Row],[Winning Candidate]]-SamplingData[[#This Row],[Candidate 8]])/(SamplingData[[#Totals],[Winning Candidate]]-SamplingData[[#Totals],[Candidate 8]]), 0)</f>
        <v>0</v>
      </c>
      <c r="X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 s="100">
        <f>MAX(SamplingData[[#This Row],[Error Bound (up) - Max. possible relative overstatement - Losing Candidate]:[Error Bound (up) - Max. possible relative overstatement - Candidate 12]])</f>
        <v>6.2575058466595029E-3</v>
      </c>
      <c r="AC45" s="100">
        <f>IF(SamplingData[[#This Row],[Max Error Bound (up)]] = 0,0,SamplingData[[#This Row],[Max Error Bound (up)]]/SamplingData[[#Totals],[Max Error Bound (up)]])</f>
        <v>2.5396434810773917E-3</v>
      </c>
      <c r="AD45" s="104">
        <f>SUM($AC$5:AC45)</f>
        <v>4.8765390558723885E-2</v>
      </c>
      <c r="AE45" s="100" t="str" cm="1">
        <f t="array" ref="AE45">IF(SamplingData[[#This Row],[up/U Selection Probability]] = 0, "Zero", TEXT(SamplingData[[#This Row],[Lower Range]], REPT("0",LEN('General Info'!$B$42))) &amp; " - " &amp; TEXT(SamplingData[[#This Row],[Upper Range]], REPT("0",LEN('General Info'!$B$42))))</f>
        <v>04623 - 04876</v>
      </c>
      <c r="AF45" s="100">
        <f>SamplingData[[#This Row],[Upper Range]]-SamplingData[[#This Row],[Span]]</f>
        <v>4622.5747077646492</v>
      </c>
      <c r="AG45" s="100">
        <f>IF(ISNUMBER('General Info'!$B$42), ((SamplingData[[#This Row],[up/U Selection Probability]]) * 'General Info'!$B$44) - 1, 0)</f>
        <v>252.96434810773917</v>
      </c>
      <c r="AH45" s="100">
        <f>IF(ISNUMBER('General Info'!$B$42), (SamplingData[[#This Row],[Running (cumulative) sum]] * ('General Info'!$B$42 -'General Info'!$B$43 + 1)) + 'General Info'!$B$43 - 1, 0)</f>
        <v>4875.5390558723884</v>
      </c>
      <c r="AI45" s="100" t="str">
        <f>IF(ISERROR(MATCH(SamplingData[[#This Row],[Batch by Type (p)]],SelectedPrecincts[Batch Name], 0)), "", INDEX(SelectedPrecincts[Draw], MATCH(SamplingData[[#This Row],[Batch by Type (p)]],SelectedPrecincts[Batch Name], 0)))</f>
        <v/>
      </c>
      <c r="AJ45" s="101">
        <f>IF(COUNTIF(SelectedPrecincts[Batch Name],SamplingData[[#This Row],[Batch by Type (p)]]) &lt;&gt; 0, COUNTIF(SelectedPrecincts[Batch Name],SamplingData[[#This Row],[Batch by Type (p)]]), 0)</f>
        <v>0</v>
      </c>
    </row>
    <row r="46" spans="1:36" ht="15" customHeight="1" x14ac:dyDescent="0.35">
      <c r="A46" s="98" t="s">
        <v>257</v>
      </c>
      <c r="B46" s="98">
        <v>41</v>
      </c>
      <c r="C46" s="98">
        <v>7</v>
      </c>
      <c r="D46" s="93">
        <v>2</v>
      </c>
      <c r="E46" s="93"/>
      <c r="F46" s="93"/>
      <c r="G46" s="97"/>
      <c r="H46" s="97"/>
      <c r="I46" s="93"/>
      <c r="J46" s="93"/>
      <c r="K46" s="93"/>
      <c r="L46" s="93"/>
      <c r="M46" s="93"/>
      <c r="N46" s="98">
        <v>0</v>
      </c>
      <c r="O46" s="98">
        <v>0</v>
      </c>
      <c r="P46" s="99">
        <f>SUM(SamplingData[[#This Row],[Winning Candidate]:[Under Votes]])</f>
        <v>50</v>
      </c>
      <c r="Q46" s="100">
        <f>IF(AND(SamplingData[[#This Row],[Total]]&lt;&gt; 0, NOT(ISBLANK(SamplingData[[#This Row],[Losing Candidate]]))),(SamplingData[[#This Row],[Total]]+SamplingData[[#This Row],[Winning Candidate]]-SamplingData[[#This Row],[Losing Candidate]])/(SamplingData[[#Totals],[Winning Candidate]]-SamplingData[[#Totals],[Losing Candidate]]), 0)</f>
        <v>5.309398900195942E-3</v>
      </c>
      <c r="R46" s="100">
        <f>IF(AND(SamplingData[[#This Row],[Total]]&lt;&gt; 0, NOT(ISBLANK(SamplingData[[#This Row],[Candidate 3]]))),(SamplingData[[#This Row],[Total]]+SamplingData[[#This Row],[Winning Candidate]]-SamplingData[[#This Row],[Candidate 3]])/(SamplingData[[#Totals],[Winning Candidate]]-SamplingData[[#Totals],[Candidate 3]]), 0)</f>
        <v>5.0237073831564689E-3</v>
      </c>
      <c r="S46" s="100">
        <f>IF(AND(SamplingData[[#This Row],[Total]]&lt;&gt; 0, NOT(ISBLANK(SamplingData[[#This Row],[Candidate 4]]))),(SamplingData[[#This Row],[Total]]+SamplingData[[#This Row],[Winning Candidate]]-SamplingData[[#This Row],[Candidate 4]])/(SamplingData[[#Totals],[Winning Candidate]]-SamplingData[[#Totals],[Candidate 4]]), 0)</f>
        <v>0</v>
      </c>
      <c r="T46" s="100">
        <f>IF(AND(SamplingData[[#This Row],[Total]]&lt;&gt; 0, NOT(ISBLANK(SamplingData[[#This Row],[Candidate 5]]))),(SamplingData[[#This Row],[Total]]+SamplingData[[#This Row],[Winning Candidate]]-SamplingData[[#This Row],[Candidate 5]])/(SamplingData[[#Totals],[Winning Candidate]]-SamplingData[[#Totals],[Candidate 5]]), 0)</f>
        <v>0</v>
      </c>
      <c r="U46" s="100">
        <f>IF(AND(SamplingData[[#This Row],[Total]]&lt;&gt; 0, NOT(ISBLANK(SamplingData[[#This Row],[Candidate 6]]))),(SamplingData[[#This Row],[Total]]+SamplingData[[#This Row],[Losing Candidate]]-SamplingData[[#This Row],[Candidate 6]])/(SamplingData[[#Totals],[Winning Candidate]]-SamplingData[[#Totals],[Candidate 6]]), 0)</f>
        <v>0</v>
      </c>
      <c r="V46" s="100">
        <f>IF(AND(SamplingData[[#This Row],[Total]]&lt;&gt; 0, NOT(ISBLANK(SamplingData[[#This Row],[Candidate 7]]))),(SamplingData[[#This Row],[Total]]+SamplingData[[#This Row],[Winning Candidate]]-SamplingData[[#This Row],[Candidate 7]])/(SamplingData[[#Totals],[Winning Candidate]]-SamplingData[[#Totals],[Candidate 7]]), 0)</f>
        <v>0</v>
      </c>
      <c r="W46" s="100">
        <f>IF(AND(SamplingData[[#This Row],[Total]]&lt;&gt; 0, NOT(ISBLANK(SamplingData[[#This Row],[Candidate 8]]))),(SamplingData[[#This Row],[Total]]+SamplingData[[#This Row],[Winning Candidate]]-SamplingData[[#This Row],[Candidate 8]])/(SamplingData[[#Totals],[Winning Candidate]]-SamplingData[[#Totals],[Candidate 8]]), 0)</f>
        <v>0</v>
      </c>
      <c r="X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 s="100">
        <f>MAX(SamplingData[[#This Row],[Error Bound (up) - Max. possible relative overstatement - Losing Candidate]:[Error Bound (up) - Max. possible relative overstatement - Candidate 12]])</f>
        <v>5.309398900195942E-3</v>
      </c>
      <c r="AC46" s="100">
        <f>IF(SamplingData[[#This Row],[Max Error Bound (up)]] = 0,0,SamplingData[[#This Row],[Max Error Bound (up)]]/SamplingData[[#Totals],[Max Error Bound (up)]])</f>
        <v>2.1548490142474837E-3</v>
      </c>
      <c r="AD46" s="104">
        <f>SUM($AC$5:AC46)</f>
        <v>5.0920239572971371E-2</v>
      </c>
      <c r="AE46" s="100" t="str" cm="1">
        <f t="array" ref="AE46">IF(SamplingData[[#This Row],[up/U Selection Probability]] = 0, "Zero", TEXT(SamplingData[[#This Row],[Lower Range]], REPT("0",LEN('General Info'!$B$42))) &amp; " - " &amp; TEXT(SamplingData[[#This Row],[Upper Range]], REPT("0",LEN('General Info'!$B$42))))</f>
        <v>04877 - 05091</v>
      </c>
      <c r="AF46" s="100">
        <f>SamplingData[[#This Row],[Upper Range]]-SamplingData[[#This Row],[Span]]</f>
        <v>4876.5390558723884</v>
      </c>
      <c r="AG46" s="100">
        <f>IF(ISNUMBER('General Info'!$B$42), ((SamplingData[[#This Row],[up/U Selection Probability]]) * 'General Info'!$B$44) - 1, 0)</f>
        <v>214.48490142474839</v>
      </c>
      <c r="AH46" s="100">
        <f>IF(ISNUMBER('General Info'!$B$42), (SamplingData[[#This Row],[Running (cumulative) sum]] * ('General Info'!$B$42 -'General Info'!$B$43 + 1)) + 'General Info'!$B$43 - 1, 0)</f>
        <v>5091.0239572971368</v>
      </c>
      <c r="AI46" s="100" t="str">
        <f>IF(ISERROR(MATCH(SamplingData[[#This Row],[Batch by Type (p)]],SelectedPrecincts[Batch Name], 0)), "", INDEX(SelectedPrecincts[Draw], MATCH(SamplingData[[#This Row],[Batch by Type (p)]],SelectedPrecincts[Batch Name], 0)))</f>
        <v/>
      </c>
      <c r="AJ46" s="101">
        <f>IF(COUNTIF(SelectedPrecincts[Batch Name],SamplingData[[#This Row],[Batch by Type (p)]]) &lt;&gt; 0, COUNTIF(SelectedPrecincts[Batch Name],SamplingData[[#This Row],[Batch by Type (p)]]), 0)</f>
        <v>0</v>
      </c>
    </row>
    <row r="47" spans="1:36" ht="15" customHeight="1" x14ac:dyDescent="0.35">
      <c r="A47" s="98" t="s">
        <v>258</v>
      </c>
      <c r="B47" s="98">
        <v>24</v>
      </c>
      <c r="C47" s="98">
        <v>7</v>
      </c>
      <c r="D47" s="93">
        <v>0</v>
      </c>
      <c r="E47" s="93"/>
      <c r="F47" s="93"/>
      <c r="G47" s="97"/>
      <c r="H47" s="97"/>
      <c r="I47" s="93"/>
      <c r="J47" s="93"/>
      <c r="K47" s="93"/>
      <c r="L47" s="93"/>
      <c r="M47" s="93"/>
      <c r="N47" s="98">
        <v>0</v>
      </c>
      <c r="O47" s="98">
        <v>0</v>
      </c>
      <c r="P47" s="99">
        <f>SUM(SamplingData[[#This Row],[Winning Candidate]:[Under Votes]])</f>
        <v>31</v>
      </c>
      <c r="Q47" s="100">
        <f>IF(AND(SamplingData[[#This Row],[Total]]&lt;&gt; 0, NOT(ISBLANK(SamplingData[[#This Row],[Losing Candidate]]))),(SamplingData[[#This Row],[Total]]+SamplingData[[#This Row],[Winning Candidate]]-SamplingData[[#This Row],[Losing Candidate]])/(SamplingData[[#Totals],[Winning Candidate]]-SamplingData[[#Totals],[Losing Candidate]]), 0)</f>
        <v>3.0339422286833955E-3</v>
      </c>
      <c r="R47" s="100">
        <f>IF(AND(SamplingData[[#This Row],[Total]]&lt;&gt; 0, NOT(ISBLANK(SamplingData[[#This Row],[Candidate 3]]))),(SamplingData[[#This Row],[Total]]+SamplingData[[#This Row],[Winning Candidate]]-SamplingData[[#This Row],[Candidate 3]])/(SamplingData[[#Totals],[Winning Candidate]]-SamplingData[[#Totals],[Candidate 3]]), 0)</f>
        <v>3.1045382704899525E-3</v>
      </c>
      <c r="S47" s="100">
        <f>IF(AND(SamplingData[[#This Row],[Total]]&lt;&gt; 0, NOT(ISBLANK(SamplingData[[#This Row],[Candidate 4]]))),(SamplingData[[#This Row],[Total]]+SamplingData[[#This Row],[Winning Candidate]]-SamplingData[[#This Row],[Candidate 4]])/(SamplingData[[#Totals],[Winning Candidate]]-SamplingData[[#Totals],[Candidate 4]]), 0)</f>
        <v>0</v>
      </c>
      <c r="T47" s="100">
        <f>IF(AND(SamplingData[[#This Row],[Total]]&lt;&gt; 0, NOT(ISBLANK(SamplingData[[#This Row],[Candidate 5]]))),(SamplingData[[#This Row],[Total]]+SamplingData[[#This Row],[Winning Candidate]]-SamplingData[[#This Row],[Candidate 5]])/(SamplingData[[#Totals],[Winning Candidate]]-SamplingData[[#Totals],[Candidate 5]]), 0)</f>
        <v>0</v>
      </c>
      <c r="U47" s="100">
        <f>IF(AND(SamplingData[[#This Row],[Total]]&lt;&gt; 0, NOT(ISBLANK(SamplingData[[#This Row],[Candidate 6]]))),(SamplingData[[#This Row],[Total]]+SamplingData[[#This Row],[Losing Candidate]]-SamplingData[[#This Row],[Candidate 6]])/(SamplingData[[#Totals],[Winning Candidate]]-SamplingData[[#Totals],[Candidate 6]]), 0)</f>
        <v>0</v>
      </c>
      <c r="V47" s="100">
        <f>IF(AND(SamplingData[[#This Row],[Total]]&lt;&gt; 0, NOT(ISBLANK(SamplingData[[#This Row],[Candidate 7]]))),(SamplingData[[#This Row],[Total]]+SamplingData[[#This Row],[Winning Candidate]]-SamplingData[[#This Row],[Candidate 7]])/(SamplingData[[#Totals],[Winning Candidate]]-SamplingData[[#Totals],[Candidate 7]]), 0)</f>
        <v>0</v>
      </c>
      <c r="W47" s="100">
        <f>IF(AND(SamplingData[[#This Row],[Total]]&lt;&gt; 0, NOT(ISBLANK(SamplingData[[#This Row],[Candidate 8]]))),(SamplingData[[#This Row],[Total]]+SamplingData[[#This Row],[Winning Candidate]]-SamplingData[[#This Row],[Candidate 8]])/(SamplingData[[#Totals],[Winning Candidate]]-SamplingData[[#Totals],[Candidate 8]]), 0)</f>
        <v>0</v>
      </c>
      <c r="X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 s="100">
        <f>MAX(SamplingData[[#This Row],[Error Bound (up) - Max. possible relative overstatement - Losing Candidate]:[Error Bound (up) - Max. possible relative overstatement - Candidate 12]])</f>
        <v>3.1045382704899525E-3</v>
      </c>
      <c r="AC47" s="100">
        <f>IF(SamplingData[[#This Row],[Max Error Bound (up)]] = 0,0,SamplingData[[#This Row],[Max Error Bound (up)]]/SamplingData[[#Totals],[Max Error Bound (up)]])</f>
        <v>1.2599940892766555E-3</v>
      </c>
      <c r="AD47" s="104">
        <f>SUM($AC$5:AC47)</f>
        <v>5.2180233662248027E-2</v>
      </c>
      <c r="AE47" s="100" t="str" cm="1">
        <f t="array" ref="AE47">IF(SamplingData[[#This Row],[up/U Selection Probability]] = 0, "Zero", TEXT(SamplingData[[#This Row],[Lower Range]], REPT("0",LEN('General Info'!$B$42))) &amp; " - " &amp; TEXT(SamplingData[[#This Row],[Upper Range]], REPT("0",LEN('General Info'!$B$42))))</f>
        <v>05092 - 05217</v>
      </c>
      <c r="AF47" s="100">
        <f>SamplingData[[#This Row],[Upper Range]]-SamplingData[[#This Row],[Span]]</f>
        <v>5092.0239572971377</v>
      </c>
      <c r="AG47" s="100">
        <f>IF(ISNUMBER('General Info'!$B$42), ((SamplingData[[#This Row],[up/U Selection Probability]]) * 'General Info'!$B$44) - 1, 0)</f>
        <v>124.99940892766554</v>
      </c>
      <c r="AH47" s="100">
        <f>IF(ISNUMBER('General Info'!$B$42), (SamplingData[[#This Row],[Running (cumulative) sum]] * ('General Info'!$B$42 -'General Info'!$B$43 + 1)) + 'General Info'!$B$43 - 1, 0)</f>
        <v>5217.0233662248029</v>
      </c>
      <c r="AI47" s="100" t="str">
        <f>IF(ISERROR(MATCH(SamplingData[[#This Row],[Batch by Type (p)]],SelectedPrecincts[Batch Name], 0)), "", INDEX(SelectedPrecincts[Draw], MATCH(SamplingData[[#This Row],[Batch by Type (p)]],SelectedPrecincts[Batch Name], 0)))</f>
        <v/>
      </c>
      <c r="AJ47" s="101">
        <f>IF(COUNTIF(SelectedPrecincts[Batch Name],SamplingData[[#This Row],[Batch by Type (p)]]) &lt;&gt; 0, COUNTIF(SelectedPrecincts[Batch Name],SamplingData[[#This Row],[Batch by Type (p)]]), 0)</f>
        <v>0</v>
      </c>
    </row>
    <row r="48" spans="1:36" ht="15" customHeight="1" x14ac:dyDescent="0.35">
      <c r="A48" s="98" t="s">
        <v>259</v>
      </c>
      <c r="B48" s="98">
        <v>17</v>
      </c>
      <c r="C48" s="98">
        <v>7</v>
      </c>
      <c r="D48" s="93">
        <v>4</v>
      </c>
      <c r="E48" s="93"/>
      <c r="F48" s="93"/>
      <c r="G48" s="97"/>
      <c r="H48" s="97"/>
      <c r="I48" s="93"/>
      <c r="J48" s="93"/>
      <c r="K48" s="93"/>
      <c r="L48" s="93"/>
      <c r="M48" s="93"/>
      <c r="N48" s="98">
        <v>0</v>
      </c>
      <c r="O48" s="98">
        <v>0</v>
      </c>
      <c r="P48" s="99">
        <f>SUM(SamplingData[[#This Row],[Winning Candidate]:[Under Votes]])</f>
        <v>28</v>
      </c>
      <c r="Q48" s="100">
        <f>IF(AND(SamplingData[[#This Row],[Total]]&lt;&gt; 0, NOT(ISBLANK(SamplingData[[#This Row],[Losing Candidate]]))),(SamplingData[[#This Row],[Total]]+SamplingData[[#This Row],[Winning Candidate]]-SamplingData[[#This Row],[Losing Candidate]])/(SamplingData[[#Totals],[Winning Candidate]]-SamplingData[[#Totals],[Losing Candidate]]), 0)</f>
        <v>2.4018709310410216E-3</v>
      </c>
      <c r="R48" s="100">
        <f>IF(AND(SamplingData[[#This Row],[Total]]&lt;&gt; 0, NOT(ISBLANK(SamplingData[[#This Row],[Candidate 3]]))),(SamplingData[[#This Row],[Total]]+SamplingData[[#This Row],[Winning Candidate]]-SamplingData[[#This Row],[Candidate 3]])/(SamplingData[[#Totals],[Winning Candidate]]-SamplingData[[#Totals],[Candidate 3]]), 0)</f>
        <v>2.3142921652743284E-3</v>
      </c>
      <c r="S48" s="100">
        <f>IF(AND(SamplingData[[#This Row],[Total]]&lt;&gt; 0, NOT(ISBLANK(SamplingData[[#This Row],[Candidate 4]]))),(SamplingData[[#This Row],[Total]]+SamplingData[[#This Row],[Winning Candidate]]-SamplingData[[#This Row],[Candidate 4]])/(SamplingData[[#Totals],[Winning Candidate]]-SamplingData[[#Totals],[Candidate 4]]), 0)</f>
        <v>0</v>
      </c>
      <c r="T48" s="100">
        <f>IF(AND(SamplingData[[#This Row],[Total]]&lt;&gt; 0, NOT(ISBLANK(SamplingData[[#This Row],[Candidate 5]]))),(SamplingData[[#This Row],[Total]]+SamplingData[[#This Row],[Winning Candidate]]-SamplingData[[#This Row],[Candidate 5]])/(SamplingData[[#Totals],[Winning Candidate]]-SamplingData[[#Totals],[Candidate 5]]), 0)</f>
        <v>0</v>
      </c>
      <c r="U48" s="100">
        <f>IF(AND(SamplingData[[#This Row],[Total]]&lt;&gt; 0, NOT(ISBLANK(SamplingData[[#This Row],[Candidate 6]]))),(SamplingData[[#This Row],[Total]]+SamplingData[[#This Row],[Losing Candidate]]-SamplingData[[#This Row],[Candidate 6]])/(SamplingData[[#Totals],[Winning Candidate]]-SamplingData[[#Totals],[Candidate 6]]), 0)</f>
        <v>0</v>
      </c>
      <c r="V48" s="100">
        <f>IF(AND(SamplingData[[#This Row],[Total]]&lt;&gt; 0, NOT(ISBLANK(SamplingData[[#This Row],[Candidate 7]]))),(SamplingData[[#This Row],[Total]]+SamplingData[[#This Row],[Winning Candidate]]-SamplingData[[#This Row],[Candidate 7]])/(SamplingData[[#Totals],[Winning Candidate]]-SamplingData[[#Totals],[Candidate 7]]), 0)</f>
        <v>0</v>
      </c>
      <c r="W48" s="100">
        <f>IF(AND(SamplingData[[#This Row],[Total]]&lt;&gt; 0, NOT(ISBLANK(SamplingData[[#This Row],[Candidate 8]]))),(SamplingData[[#This Row],[Total]]+SamplingData[[#This Row],[Winning Candidate]]-SamplingData[[#This Row],[Candidate 8]])/(SamplingData[[#Totals],[Winning Candidate]]-SamplingData[[#Totals],[Candidate 8]]), 0)</f>
        <v>0</v>
      </c>
      <c r="X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 s="100">
        <f>MAX(SamplingData[[#This Row],[Error Bound (up) - Max. possible relative overstatement - Losing Candidate]:[Error Bound (up) - Max. possible relative overstatement - Candidate 12]])</f>
        <v>2.4018709310410216E-3</v>
      </c>
      <c r="AC48" s="100">
        <f>IF(SamplingData[[#This Row],[Max Error Bound (up)]] = 0,0,SamplingData[[#This Row],[Max Error Bound (up)]]/SamplingData[[#Totals],[Max Error Bound (up)]])</f>
        <v>9.7481264930243325E-4</v>
      </c>
      <c r="AD48" s="104">
        <f>SUM($AC$5:AC48)</f>
        <v>5.3155046311550463E-2</v>
      </c>
      <c r="AE48" s="100" t="str" cm="1">
        <f t="array" ref="AE48">IF(SamplingData[[#This Row],[up/U Selection Probability]] = 0, "Zero", TEXT(SamplingData[[#This Row],[Lower Range]], REPT("0",LEN('General Info'!$B$42))) &amp; " - " &amp; TEXT(SamplingData[[#This Row],[Upper Range]], REPT("0",LEN('General Info'!$B$42))))</f>
        <v>05218 - 05315</v>
      </c>
      <c r="AF48" s="100">
        <f>SamplingData[[#This Row],[Upper Range]]-SamplingData[[#This Row],[Span]]</f>
        <v>5218.0233662248029</v>
      </c>
      <c r="AG48" s="100">
        <f>IF(ISNUMBER('General Info'!$B$42), ((SamplingData[[#This Row],[up/U Selection Probability]]) * 'General Info'!$B$44) - 1, 0)</f>
        <v>96.481264930243327</v>
      </c>
      <c r="AH48" s="100">
        <f>IF(ISNUMBER('General Info'!$B$42), (SamplingData[[#This Row],[Running (cumulative) sum]] * ('General Info'!$B$42 -'General Info'!$B$43 + 1)) + 'General Info'!$B$43 - 1, 0)</f>
        <v>5314.5046311550459</v>
      </c>
      <c r="AI48" s="100" t="str">
        <f>IF(ISERROR(MATCH(SamplingData[[#This Row],[Batch by Type (p)]],SelectedPrecincts[Batch Name], 0)), "", INDEX(SelectedPrecincts[Draw], MATCH(SamplingData[[#This Row],[Batch by Type (p)]],SelectedPrecincts[Batch Name], 0)))</f>
        <v/>
      </c>
      <c r="AJ48" s="101">
        <f>IF(COUNTIF(SelectedPrecincts[Batch Name],SamplingData[[#This Row],[Batch by Type (p)]]) &lt;&gt; 0, COUNTIF(SelectedPrecincts[Batch Name],SamplingData[[#This Row],[Batch by Type (p)]]), 0)</f>
        <v>0</v>
      </c>
    </row>
    <row r="49" spans="1:36" ht="15" customHeight="1" x14ac:dyDescent="0.35">
      <c r="A49" s="98" t="s">
        <v>260</v>
      </c>
      <c r="B49" s="98">
        <v>11</v>
      </c>
      <c r="C49" s="98">
        <v>0</v>
      </c>
      <c r="D49" s="93">
        <v>1</v>
      </c>
      <c r="E49" s="93"/>
      <c r="F49" s="93"/>
      <c r="G49" s="97"/>
      <c r="H49" s="97"/>
      <c r="I49" s="93"/>
      <c r="J49" s="93"/>
      <c r="K49" s="93"/>
      <c r="L49" s="93"/>
      <c r="M49" s="93"/>
      <c r="N49" s="98">
        <v>0</v>
      </c>
      <c r="O49" s="98">
        <v>0</v>
      </c>
      <c r="P49" s="99">
        <f>SUM(SamplingData[[#This Row],[Winning Candidate]:[Under Votes]])</f>
        <v>12</v>
      </c>
      <c r="Q49" s="100">
        <f>IF(AND(SamplingData[[#This Row],[Total]]&lt;&gt; 0, NOT(ISBLANK(SamplingData[[#This Row],[Losing Candidate]]))),(SamplingData[[#This Row],[Total]]+SamplingData[[#This Row],[Winning Candidate]]-SamplingData[[#This Row],[Losing Candidate]])/(SamplingData[[#Totals],[Winning Candidate]]-SamplingData[[#Totals],[Losing Candidate]]), 0)</f>
        <v>1.4537639845774604E-3</v>
      </c>
      <c r="R49" s="100">
        <f>IF(AND(SamplingData[[#This Row],[Total]]&lt;&gt; 0, NOT(ISBLANK(SamplingData[[#This Row],[Candidate 3]]))),(SamplingData[[#This Row],[Total]]+SamplingData[[#This Row],[Winning Candidate]]-SamplingData[[#This Row],[Candidate 3]])/(SamplingData[[#Totals],[Winning Candidate]]-SamplingData[[#Totals],[Candidate 3]]), 0)</f>
        <v>1.241815308195981E-3</v>
      </c>
      <c r="S49" s="100">
        <f>IF(AND(SamplingData[[#This Row],[Total]]&lt;&gt; 0, NOT(ISBLANK(SamplingData[[#This Row],[Candidate 4]]))),(SamplingData[[#This Row],[Total]]+SamplingData[[#This Row],[Winning Candidate]]-SamplingData[[#This Row],[Candidate 4]])/(SamplingData[[#Totals],[Winning Candidate]]-SamplingData[[#Totals],[Candidate 4]]), 0)</f>
        <v>0</v>
      </c>
      <c r="T49" s="100">
        <f>IF(AND(SamplingData[[#This Row],[Total]]&lt;&gt; 0, NOT(ISBLANK(SamplingData[[#This Row],[Candidate 5]]))),(SamplingData[[#This Row],[Total]]+SamplingData[[#This Row],[Winning Candidate]]-SamplingData[[#This Row],[Candidate 5]])/(SamplingData[[#Totals],[Winning Candidate]]-SamplingData[[#Totals],[Candidate 5]]), 0)</f>
        <v>0</v>
      </c>
      <c r="U49" s="100">
        <f>IF(AND(SamplingData[[#This Row],[Total]]&lt;&gt; 0, NOT(ISBLANK(SamplingData[[#This Row],[Candidate 6]]))),(SamplingData[[#This Row],[Total]]+SamplingData[[#This Row],[Losing Candidate]]-SamplingData[[#This Row],[Candidate 6]])/(SamplingData[[#Totals],[Winning Candidate]]-SamplingData[[#Totals],[Candidate 6]]), 0)</f>
        <v>0</v>
      </c>
      <c r="V49" s="100">
        <f>IF(AND(SamplingData[[#This Row],[Total]]&lt;&gt; 0, NOT(ISBLANK(SamplingData[[#This Row],[Candidate 7]]))),(SamplingData[[#This Row],[Total]]+SamplingData[[#This Row],[Winning Candidate]]-SamplingData[[#This Row],[Candidate 7]])/(SamplingData[[#Totals],[Winning Candidate]]-SamplingData[[#Totals],[Candidate 7]]), 0)</f>
        <v>0</v>
      </c>
      <c r="W49" s="100">
        <f>IF(AND(SamplingData[[#This Row],[Total]]&lt;&gt; 0, NOT(ISBLANK(SamplingData[[#This Row],[Candidate 8]]))),(SamplingData[[#This Row],[Total]]+SamplingData[[#This Row],[Winning Candidate]]-SamplingData[[#This Row],[Candidate 8]])/(SamplingData[[#Totals],[Winning Candidate]]-SamplingData[[#Totals],[Candidate 8]]), 0)</f>
        <v>0</v>
      </c>
      <c r="X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 s="100">
        <f>MAX(SamplingData[[#This Row],[Error Bound (up) - Max. possible relative overstatement - Losing Candidate]:[Error Bound (up) - Max. possible relative overstatement - Candidate 12]])</f>
        <v>1.4537639845774604E-3</v>
      </c>
      <c r="AC49" s="100">
        <f>IF(SamplingData[[#This Row],[Max Error Bound (up)]] = 0,0,SamplingData[[#This Row],[Max Error Bound (up)]]/SamplingData[[#Totals],[Max Error Bound (up)]])</f>
        <v>5.9001818247252536E-4</v>
      </c>
      <c r="AD49" s="104">
        <f>SUM($AC$5:AC49)</f>
        <v>5.3745064494022991E-2</v>
      </c>
      <c r="AE49" s="100" t="str" cm="1">
        <f t="array" ref="AE49">IF(SamplingData[[#This Row],[up/U Selection Probability]] = 0, "Zero", TEXT(SamplingData[[#This Row],[Lower Range]], REPT("0",LEN('General Info'!$B$42))) &amp; " - " &amp; TEXT(SamplingData[[#This Row],[Upper Range]], REPT("0",LEN('General Info'!$B$42))))</f>
        <v>05316 - 05374</v>
      </c>
      <c r="AF49" s="100">
        <f>SamplingData[[#This Row],[Upper Range]]-SamplingData[[#This Row],[Span]]</f>
        <v>5315.5046311550468</v>
      </c>
      <c r="AG49" s="100">
        <f>IF(ISNUMBER('General Info'!$B$42), ((SamplingData[[#This Row],[up/U Selection Probability]]) * 'General Info'!$B$44) - 1, 0)</f>
        <v>58.001818247252537</v>
      </c>
      <c r="AH49" s="100">
        <f>IF(ISNUMBER('General Info'!$B$42), (SamplingData[[#This Row],[Running (cumulative) sum]] * ('General Info'!$B$42 -'General Info'!$B$43 + 1)) + 'General Info'!$B$43 - 1, 0)</f>
        <v>5373.506449402299</v>
      </c>
      <c r="AI49" s="100" t="str">
        <f>IF(ISERROR(MATCH(SamplingData[[#This Row],[Batch by Type (p)]],SelectedPrecincts[Batch Name], 0)), "", INDEX(SelectedPrecincts[Draw], MATCH(SamplingData[[#This Row],[Batch by Type (p)]],SelectedPrecincts[Batch Name], 0)))</f>
        <v/>
      </c>
      <c r="AJ49" s="101">
        <f>IF(COUNTIF(SelectedPrecincts[Batch Name],SamplingData[[#This Row],[Batch by Type (p)]]) &lt;&gt; 0, COUNTIF(SelectedPrecincts[Batch Name],SamplingData[[#This Row],[Batch by Type (p)]]), 0)</f>
        <v>0</v>
      </c>
    </row>
    <row r="50" spans="1:36" ht="15" customHeight="1" x14ac:dyDescent="0.35">
      <c r="A50" s="98" t="s">
        <v>261</v>
      </c>
      <c r="B50" s="98">
        <v>17</v>
      </c>
      <c r="C50" s="98">
        <v>7</v>
      </c>
      <c r="D50" s="93">
        <v>1</v>
      </c>
      <c r="E50" s="93"/>
      <c r="F50" s="93"/>
      <c r="G50" s="97"/>
      <c r="H50" s="97"/>
      <c r="I50" s="93"/>
      <c r="J50" s="93"/>
      <c r="K50" s="93"/>
      <c r="L50" s="93"/>
      <c r="M50" s="93"/>
      <c r="N50" s="98">
        <v>0</v>
      </c>
      <c r="O50" s="98">
        <v>0</v>
      </c>
      <c r="P50" s="99">
        <f>SUM(SamplingData[[#This Row],[Winning Candidate]:[Under Votes]])</f>
        <v>25</v>
      </c>
      <c r="Q50" s="100">
        <f>IF(AND(SamplingData[[#This Row],[Total]]&lt;&gt; 0, NOT(ISBLANK(SamplingData[[#This Row],[Losing Candidate]]))),(SamplingData[[#This Row],[Total]]+SamplingData[[#This Row],[Winning Candidate]]-SamplingData[[#This Row],[Losing Candidate]])/(SamplingData[[#Totals],[Winning Candidate]]-SamplingData[[#Totals],[Losing Candidate]]), 0)</f>
        <v>2.2122495417483093E-3</v>
      </c>
      <c r="R50" s="100">
        <f>IF(AND(SamplingData[[#This Row],[Total]]&lt;&gt; 0, NOT(ISBLANK(SamplingData[[#This Row],[Candidate 3]]))),(SamplingData[[#This Row],[Total]]+SamplingData[[#This Row],[Winning Candidate]]-SamplingData[[#This Row],[Candidate 3]])/(SamplingData[[#Totals],[Winning Candidate]]-SamplingData[[#Totals],[Candidate 3]]), 0)</f>
        <v>2.3142921652743284E-3</v>
      </c>
      <c r="S50" s="100">
        <f>IF(AND(SamplingData[[#This Row],[Total]]&lt;&gt; 0, NOT(ISBLANK(SamplingData[[#This Row],[Candidate 4]]))),(SamplingData[[#This Row],[Total]]+SamplingData[[#This Row],[Winning Candidate]]-SamplingData[[#This Row],[Candidate 4]])/(SamplingData[[#Totals],[Winning Candidate]]-SamplingData[[#Totals],[Candidate 4]]), 0)</f>
        <v>0</v>
      </c>
      <c r="T50" s="100">
        <f>IF(AND(SamplingData[[#This Row],[Total]]&lt;&gt; 0, NOT(ISBLANK(SamplingData[[#This Row],[Candidate 5]]))),(SamplingData[[#This Row],[Total]]+SamplingData[[#This Row],[Winning Candidate]]-SamplingData[[#This Row],[Candidate 5]])/(SamplingData[[#Totals],[Winning Candidate]]-SamplingData[[#Totals],[Candidate 5]]), 0)</f>
        <v>0</v>
      </c>
      <c r="U50" s="100">
        <f>IF(AND(SamplingData[[#This Row],[Total]]&lt;&gt; 0, NOT(ISBLANK(SamplingData[[#This Row],[Candidate 6]]))),(SamplingData[[#This Row],[Total]]+SamplingData[[#This Row],[Losing Candidate]]-SamplingData[[#This Row],[Candidate 6]])/(SamplingData[[#Totals],[Winning Candidate]]-SamplingData[[#Totals],[Candidate 6]]), 0)</f>
        <v>0</v>
      </c>
      <c r="V50" s="100">
        <f>IF(AND(SamplingData[[#This Row],[Total]]&lt;&gt; 0, NOT(ISBLANK(SamplingData[[#This Row],[Candidate 7]]))),(SamplingData[[#This Row],[Total]]+SamplingData[[#This Row],[Winning Candidate]]-SamplingData[[#This Row],[Candidate 7]])/(SamplingData[[#Totals],[Winning Candidate]]-SamplingData[[#Totals],[Candidate 7]]), 0)</f>
        <v>0</v>
      </c>
      <c r="W50" s="100">
        <f>IF(AND(SamplingData[[#This Row],[Total]]&lt;&gt; 0, NOT(ISBLANK(SamplingData[[#This Row],[Candidate 8]]))),(SamplingData[[#This Row],[Total]]+SamplingData[[#This Row],[Winning Candidate]]-SamplingData[[#This Row],[Candidate 8]])/(SamplingData[[#Totals],[Winning Candidate]]-SamplingData[[#Totals],[Candidate 8]]), 0)</f>
        <v>0</v>
      </c>
      <c r="X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 s="100">
        <f>MAX(SamplingData[[#This Row],[Error Bound (up) - Max. possible relative overstatement - Losing Candidate]:[Error Bound (up) - Max. possible relative overstatement - Candidate 12]])</f>
        <v>2.3142921652743284E-3</v>
      </c>
      <c r="AC50" s="100">
        <f>IF(SamplingData[[#This Row],[Max Error Bound (up)]] = 0,0,SamplingData[[#This Row],[Max Error Bound (up)]]/SamplingData[[#Totals],[Max Error Bound (up)]])</f>
        <v>9.3926832109714328E-4</v>
      </c>
      <c r="AD50" s="104">
        <f>SUM($AC$5:AC50)</f>
        <v>5.4684332815120133E-2</v>
      </c>
      <c r="AE50" s="100" t="str" cm="1">
        <f t="array" ref="AE50">IF(SamplingData[[#This Row],[up/U Selection Probability]] = 0, "Zero", TEXT(SamplingData[[#This Row],[Lower Range]], REPT("0",LEN('General Info'!$B$42))) &amp; " - " &amp; TEXT(SamplingData[[#This Row],[Upper Range]], REPT("0",LEN('General Info'!$B$42))))</f>
        <v>05375 - 05467</v>
      </c>
      <c r="AF50" s="100">
        <f>SamplingData[[#This Row],[Upper Range]]-SamplingData[[#This Row],[Span]]</f>
        <v>5374.506449402299</v>
      </c>
      <c r="AG50" s="100">
        <f>IF(ISNUMBER('General Info'!$B$42), ((SamplingData[[#This Row],[up/U Selection Probability]]) * 'General Info'!$B$44) - 1, 0)</f>
        <v>92.926832109714326</v>
      </c>
      <c r="AH50" s="100">
        <f>IF(ISNUMBER('General Info'!$B$42), (SamplingData[[#This Row],[Running (cumulative) sum]] * ('General Info'!$B$42 -'General Info'!$B$43 + 1)) + 'General Info'!$B$43 - 1, 0)</f>
        <v>5467.4332815120133</v>
      </c>
      <c r="AI50" s="100">
        <f>IF(ISERROR(MATCH(SamplingData[[#This Row],[Batch by Type (p)]],SelectedPrecincts[Batch Name], 0)), "", INDEX(SelectedPrecincts[Draw], MATCH(SamplingData[[#This Row],[Batch by Type (p)]],SelectedPrecincts[Batch Name], 0)))</f>
        <v>2</v>
      </c>
      <c r="AJ50" s="101">
        <f>IF(COUNTIF(SelectedPrecincts[Batch Name],SamplingData[[#This Row],[Batch by Type (p)]]) &lt;&gt; 0, COUNTIF(SelectedPrecincts[Batch Name],SamplingData[[#This Row],[Batch by Type (p)]]), 0)</f>
        <v>1</v>
      </c>
    </row>
    <row r="51" spans="1:36" ht="15" customHeight="1" x14ac:dyDescent="0.35">
      <c r="A51" s="98" t="s">
        <v>262</v>
      </c>
      <c r="B51" s="98">
        <v>21</v>
      </c>
      <c r="C51" s="98">
        <v>2</v>
      </c>
      <c r="D51" s="93">
        <v>3</v>
      </c>
      <c r="E51" s="93"/>
      <c r="F51" s="93"/>
      <c r="G51" s="97"/>
      <c r="H51" s="97"/>
      <c r="I51" s="93"/>
      <c r="J51" s="93"/>
      <c r="K51" s="93"/>
      <c r="L51" s="93"/>
      <c r="M51" s="93"/>
      <c r="N51" s="98">
        <v>0</v>
      </c>
      <c r="O51" s="98">
        <v>0</v>
      </c>
      <c r="P51" s="99">
        <f>SUM(SamplingData[[#This Row],[Winning Candidate]:[Under Votes]])</f>
        <v>26</v>
      </c>
      <c r="Q51" s="100">
        <f>IF(AND(SamplingData[[#This Row],[Total]]&lt;&gt; 0, NOT(ISBLANK(SamplingData[[#This Row],[Losing Candidate]]))),(SamplingData[[#This Row],[Total]]+SamplingData[[#This Row],[Winning Candidate]]-SamplingData[[#This Row],[Losing Candidate]])/(SamplingData[[#Totals],[Winning Candidate]]-SamplingData[[#Totals],[Losing Candidate]]), 0)</f>
        <v>2.8443208393906833E-3</v>
      </c>
      <c r="R51" s="100">
        <f>IF(AND(SamplingData[[#This Row],[Total]]&lt;&gt; 0, NOT(ISBLANK(SamplingData[[#This Row],[Candidate 3]]))),(SamplingData[[#This Row],[Total]]+SamplingData[[#This Row],[Winning Candidate]]-SamplingData[[#This Row],[Candidate 3]])/(SamplingData[[#Totals],[Winning Candidate]]-SamplingData[[#Totals],[Candidate 3]]), 0)</f>
        <v>2.4836306163919619E-3</v>
      </c>
      <c r="S51" s="100">
        <f>IF(AND(SamplingData[[#This Row],[Total]]&lt;&gt; 0, NOT(ISBLANK(SamplingData[[#This Row],[Candidate 4]]))),(SamplingData[[#This Row],[Total]]+SamplingData[[#This Row],[Winning Candidate]]-SamplingData[[#This Row],[Candidate 4]])/(SamplingData[[#Totals],[Winning Candidate]]-SamplingData[[#Totals],[Candidate 4]]), 0)</f>
        <v>0</v>
      </c>
      <c r="T51" s="100">
        <f>IF(AND(SamplingData[[#This Row],[Total]]&lt;&gt; 0, NOT(ISBLANK(SamplingData[[#This Row],[Candidate 5]]))),(SamplingData[[#This Row],[Total]]+SamplingData[[#This Row],[Winning Candidate]]-SamplingData[[#This Row],[Candidate 5]])/(SamplingData[[#Totals],[Winning Candidate]]-SamplingData[[#Totals],[Candidate 5]]), 0)</f>
        <v>0</v>
      </c>
      <c r="U51" s="100">
        <f>IF(AND(SamplingData[[#This Row],[Total]]&lt;&gt; 0, NOT(ISBLANK(SamplingData[[#This Row],[Candidate 6]]))),(SamplingData[[#This Row],[Total]]+SamplingData[[#This Row],[Losing Candidate]]-SamplingData[[#This Row],[Candidate 6]])/(SamplingData[[#Totals],[Winning Candidate]]-SamplingData[[#Totals],[Candidate 6]]), 0)</f>
        <v>0</v>
      </c>
      <c r="V51" s="100">
        <f>IF(AND(SamplingData[[#This Row],[Total]]&lt;&gt; 0, NOT(ISBLANK(SamplingData[[#This Row],[Candidate 7]]))),(SamplingData[[#This Row],[Total]]+SamplingData[[#This Row],[Winning Candidate]]-SamplingData[[#This Row],[Candidate 7]])/(SamplingData[[#Totals],[Winning Candidate]]-SamplingData[[#Totals],[Candidate 7]]), 0)</f>
        <v>0</v>
      </c>
      <c r="W51" s="100">
        <f>IF(AND(SamplingData[[#This Row],[Total]]&lt;&gt; 0, NOT(ISBLANK(SamplingData[[#This Row],[Candidate 8]]))),(SamplingData[[#This Row],[Total]]+SamplingData[[#This Row],[Winning Candidate]]-SamplingData[[#This Row],[Candidate 8]])/(SamplingData[[#Totals],[Winning Candidate]]-SamplingData[[#Totals],[Candidate 8]]), 0)</f>
        <v>0</v>
      </c>
      <c r="X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 s="100">
        <f>MAX(SamplingData[[#This Row],[Error Bound (up) - Max. possible relative overstatement - Losing Candidate]:[Error Bound (up) - Max. possible relative overstatement - Candidate 12]])</f>
        <v>2.8443208393906833E-3</v>
      </c>
      <c r="AC51" s="100">
        <f>IF(SamplingData[[#This Row],[Max Error Bound (up)]] = 0,0,SamplingData[[#This Row],[Max Error Bound (up)]]/SamplingData[[#Totals],[Max Error Bound (up)]])</f>
        <v>1.1543834004897236E-3</v>
      </c>
      <c r="AD51" s="104">
        <f>SUM($AC$5:AC51)</f>
        <v>5.583871621560986E-2</v>
      </c>
      <c r="AE51" s="100" t="str" cm="1">
        <f t="array" ref="AE51">IF(SamplingData[[#This Row],[up/U Selection Probability]] = 0, "Zero", TEXT(SamplingData[[#This Row],[Lower Range]], REPT("0",LEN('General Info'!$B$42))) &amp; " - " &amp; TEXT(SamplingData[[#This Row],[Upper Range]], REPT("0",LEN('General Info'!$B$42))))</f>
        <v>05468 - 05583</v>
      </c>
      <c r="AF51" s="100">
        <f>SamplingData[[#This Row],[Upper Range]]-SamplingData[[#This Row],[Span]]</f>
        <v>5468.4332815120133</v>
      </c>
      <c r="AG51" s="100">
        <f>IF(ISNUMBER('General Info'!$B$42), ((SamplingData[[#This Row],[up/U Selection Probability]]) * 'General Info'!$B$44) - 1, 0)</f>
        <v>114.43834004897235</v>
      </c>
      <c r="AH51" s="100">
        <f>IF(ISNUMBER('General Info'!$B$42), (SamplingData[[#This Row],[Running (cumulative) sum]] * ('General Info'!$B$42 -'General Info'!$B$43 + 1)) + 'General Info'!$B$43 - 1, 0)</f>
        <v>5582.8716215609857</v>
      </c>
      <c r="AI51" s="100" t="str">
        <f>IF(ISERROR(MATCH(SamplingData[[#This Row],[Batch by Type (p)]],SelectedPrecincts[Batch Name], 0)), "", INDEX(SelectedPrecincts[Draw], MATCH(SamplingData[[#This Row],[Batch by Type (p)]],SelectedPrecincts[Batch Name], 0)))</f>
        <v/>
      </c>
      <c r="AJ51" s="101">
        <f>IF(COUNTIF(SelectedPrecincts[Batch Name],SamplingData[[#This Row],[Batch by Type (p)]]) &lt;&gt; 0, COUNTIF(SelectedPrecincts[Batch Name],SamplingData[[#This Row],[Batch by Type (p)]]), 0)</f>
        <v>0</v>
      </c>
    </row>
    <row r="52" spans="1:36" ht="15" customHeight="1" x14ac:dyDescent="0.35">
      <c r="A52" s="98" t="s">
        <v>263</v>
      </c>
      <c r="B52" s="98">
        <v>10</v>
      </c>
      <c r="C52" s="98">
        <v>0</v>
      </c>
      <c r="D52" s="93">
        <v>2</v>
      </c>
      <c r="E52" s="93"/>
      <c r="F52" s="93"/>
      <c r="G52" s="97"/>
      <c r="H52" s="97"/>
      <c r="I52" s="93"/>
      <c r="J52" s="93"/>
      <c r="K52" s="93"/>
      <c r="L52" s="93"/>
      <c r="M52" s="93"/>
      <c r="N52" s="98">
        <v>0</v>
      </c>
      <c r="O52" s="98">
        <v>0</v>
      </c>
      <c r="P52" s="99">
        <f>SUM(SamplingData[[#This Row],[Winning Candidate]:[Under Votes]])</f>
        <v>12</v>
      </c>
      <c r="Q52"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52" s="100">
        <f>IF(AND(SamplingData[[#This Row],[Total]]&lt;&gt; 0, NOT(ISBLANK(SamplingData[[#This Row],[Candidate 3]]))),(SamplingData[[#This Row],[Total]]+SamplingData[[#This Row],[Winning Candidate]]-SamplingData[[#This Row],[Candidate 3]])/(SamplingData[[#Totals],[Winning Candidate]]-SamplingData[[#Totals],[Candidate 3]]), 0)</f>
        <v>1.1289230074508919E-3</v>
      </c>
      <c r="S52" s="100">
        <f>IF(AND(SamplingData[[#This Row],[Total]]&lt;&gt; 0, NOT(ISBLANK(SamplingData[[#This Row],[Candidate 4]]))),(SamplingData[[#This Row],[Total]]+SamplingData[[#This Row],[Winning Candidate]]-SamplingData[[#This Row],[Candidate 4]])/(SamplingData[[#Totals],[Winning Candidate]]-SamplingData[[#Totals],[Candidate 4]]), 0)</f>
        <v>0</v>
      </c>
      <c r="T52" s="100">
        <f>IF(AND(SamplingData[[#This Row],[Total]]&lt;&gt; 0, NOT(ISBLANK(SamplingData[[#This Row],[Candidate 5]]))),(SamplingData[[#This Row],[Total]]+SamplingData[[#This Row],[Winning Candidate]]-SamplingData[[#This Row],[Candidate 5]])/(SamplingData[[#Totals],[Winning Candidate]]-SamplingData[[#Totals],[Candidate 5]]), 0)</f>
        <v>0</v>
      </c>
      <c r="U52" s="100">
        <f>IF(AND(SamplingData[[#This Row],[Total]]&lt;&gt; 0, NOT(ISBLANK(SamplingData[[#This Row],[Candidate 6]]))),(SamplingData[[#This Row],[Total]]+SamplingData[[#This Row],[Losing Candidate]]-SamplingData[[#This Row],[Candidate 6]])/(SamplingData[[#Totals],[Winning Candidate]]-SamplingData[[#Totals],[Candidate 6]]), 0)</f>
        <v>0</v>
      </c>
      <c r="V52" s="100">
        <f>IF(AND(SamplingData[[#This Row],[Total]]&lt;&gt; 0, NOT(ISBLANK(SamplingData[[#This Row],[Candidate 7]]))),(SamplingData[[#This Row],[Total]]+SamplingData[[#This Row],[Winning Candidate]]-SamplingData[[#This Row],[Candidate 7]])/(SamplingData[[#Totals],[Winning Candidate]]-SamplingData[[#Totals],[Candidate 7]]), 0)</f>
        <v>0</v>
      </c>
      <c r="W52" s="100">
        <f>IF(AND(SamplingData[[#This Row],[Total]]&lt;&gt; 0, NOT(ISBLANK(SamplingData[[#This Row],[Candidate 8]]))),(SamplingData[[#This Row],[Total]]+SamplingData[[#This Row],[Winning Candidate]]-SamplingData[[#This Row],[Candidate 8]])/(SamplingData[[#Totals],[Winning Candidate]]-SamplingData[[#Totals],[Candidate 8]]), 0)</f>
        <v>0</v>
      </c>
      <c r="X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 s="100">
        <f>MAX(SamplingData[[#This Row],[Error Bound (up) - Max. possible relative overstatement - Losing Candidate]:[Error Bound (up) - Max. possible relative overstatement - Candidate 12]])</f>
        <v>1.3905568548132229E-3</v>
      </c>
      <c r="AC52" s="100">
        <f>IF(SamplingData[[#This Row],[Max Error Bound (up)]] = 0,0,SamplingData[[#This Row],[Max Error Bound (up)]]/SamplingData[[#Totals],[Max Error Bound (up)]])</f>
        <v>5.6436521801719809E-4</v>
      </c>
      <c r="AD52" s="104">
        <f>SUM($AC$5:AC52)</f>
        <v>5.6403081433627059E-2</v>
      </c>
      <c r="AE52" s="100" t="str" cm="1">
        <f t="array" ref="AE52">IF(SamplingData[[#This Row],[up/U Selection Probability]] = 0, "Zero", TEXT(SamplingData[[#This Row],[Lower Range]], REPT("0",LEN('General Info'!$B$42))) &amp; " - " &amp; TEXT(SamplingData[[#This Row],[Upper Range]], REPT("0",LEN('General Info'!$B$42))))</f>
        <v>05584 - 05639</v>
      </c>
      <c r="AF52" s="100">
        <f>SamplingData[[#This Row],[Upper Range]]-SamplingData[[#This Row],[Span]]</f>
        <v>5583.8716215609857</v>
      </c>
      <c r="AG52" s="100">
        <f>IF(ISNUMBER('General Info'!$B$42), ((SamplingData[[#This Row],[up/U Selection Probability]]) * 'General Info'!$B$44) - 1, 0)</f>
        <v>55.436521801719806</v>
      </c>
      <c r="AH52" s="100">
        <f>IF(ISNUMBER('General Info'!$B$42), (SamplingData[[#This Row],[Running (cumulative) sum]] * ('General Info'!$B$42 -'General Info'!$B$43 + 1)) + 'General Info'!$B$43 - 1, 0)</f>
        <v>5639.3081433627058</v>
      </c>
      <c r="AI52" s="100" t="str">
        <f>IF(ISERROR(MATCH(SamplingData[[#This Row],[Batch by Type (p)]],SelectedPrecincts[Batch Name], 0)), "", INDEX(SelectedPrecincts[Draw], MATCH(SamplingData[[#This Row],[Batch by Type (p)]],SelectedPrecincts[Batch Name], 0)))</f>
        <v/>
      </c>
      <c r="AJ52" s="101">
        <f>IF(COUNTIF(SelectedPrecincts[Batch Name],SamplingData[[#This Row],[Batch by Type (p)]]) &lt;&gt; 0, COUNTIF(SelectedPrecincts[Batch Name],SamplingData[[#This Row],[Batch by Type (p)]]), 0)</f>
        <v>0</v>
      </c>
    </row>
    <row r="53" spans="1:36" ht="15" customHeight="1" x14ac:dyDescent="0.35">
      <c r="A53" s="98" t="s">
        <v>264</v>
      </c>
      <c r="B53" s="98">
        <v>8</v>
      </c>
      <c r="C53" s="98">
        <v>2</v>
      </c>
      <c r="D53" s="93">
        <v>0</v>
      </c>
      <c r="E53" s="93"/>
      <c r="F53" s="93"/>
      <c r="G53" s="97"/>
      <c r="H53" s="97"/>
      <c r="I53" s="93"/>
      <c r="J53" s="93"/>
      <c r="K53" s="93"/>
      <c r="L53" s="93"/>
      <c r="M53" s="93"/>
      <c r="N53" s="98">
        <v>0</v>
      </c>
      <c r="O53" s="98">
        <v>0</v>
      </c>
      <c r="P53" s="99">
        <f>SUM(SamplingData[[#This Row],[Winning Candidate]:[Under Votes]])</f>
        <v>10</v>
      </c>
      <c r="Q53"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53" s="100">
        <f>IF(AND(SamplingData[[#This Row],[Total]]&lt;&gt; 0, NOT(ISBLANK(SamplingData[[#This Row],[Candidate 3]]))),(SamplingData[[#This Row],[Total]]+SamplingData[[#This Row],[Winning Candidate]]-SamplingData[[#This Row],[Candidate 3]])/(SamplingData[[#Totals],[Winning Candidate]]-SamplingData[[#Totals],[Candidate 3]]), 0)</f>
        <v>1.0160307067058026E-3</v>
      </c>
      <c r="S53" s="100">
        <f>IF(AND(SamplingData[[#This Row],[Total]]&lt;&gt; 0, NOT(ISBLANK(SamplingData[[#This Row],[Candidate 4]]))),(SamplingData[[#This Row],[Total]]+SamplingData[[#This Row],[Winning Candidate]]-SamplingData[[#This Row],[Candidate 4]])/(SamplingData[[#Totals],[Winning Candidate]]-SamplingData[[#Totals],[Candidate 4]]), 0)</f>
        <v>0</v>
      </c>
      <c r="T53" s="100">
        <f>IF(AND(SamplingData[[#This Row],[Total]]&lt;&gt; 0, NOT(ISBLANK(SamplingData[[#This Row],[Candidate 5]]))),(SamplingData[[#This Row],[Total]]+SamplingData[[#This Row],[Winning Candidate]]-SamplingData[[#This Row],[Candidate 5]])/(SamplingData[[#Totals],[Winning Candidate]]-SamplingData[[#Totals],[Candidate 5]]), 0)</f>
        <v>0</v>
      </c>
      <c r="U53" s="100">
        <f>IF(AND(SamplingData[[#This Row],[Total]]&lt;&gt; 0, NOT(ISBLANK(SamplingData[[#This Row],[Candidate 6]]))),(SamplingData[[#This Row],[Total]]+SamplingData[[#This Row],[Losing Candidate]]-SamplingData[[#This Row],[Candidate 6]])/(SamplingData[[#Totals],[Winning Candidate]]-SamplingData[[#Totals],[Candidate 6]]), 0)</f>
        <v>0</v>
      </c>
      <c r="V53" s="100">
        <f>IF(AND(SamplingData[[#This Row],[Total]]&lt;&gt; 0, NOT(ISBLANK(SamplingData[[#This Row],[Candidate 7]]))),(SamplingData[[#This Row],[Total]]+SamplingData[[#This Row],[Winning Candidate]]-SamplingData[[#This Row],[Candidate 7]])/(SamplingData[[#Totals],[Winning Candidate]]-SamplingData[[#Totals],[Candidate 7]]), 0)</f>
        <v>0</v>
      </c>
      <c r="W53" s="100">
        <f>IF(AND(SamplingData[[#This Row],[Total]]&lt;&gt; 0, NOT(ISBLANK(SamplingData[[#This Row],[Candidate 8]]))),(SamplingData[[#This Row],[Total]]+SamplingData[[#This Row],[Winning Candidate]]-SamplingData[[#This Row],[Candidate 8]])/(SamplingData[[#Totals],[Winning Candidate]]-SamplingData[[#Totals],[Candidate 8]]), 0)</f>
        <v>0</v>
      </c>
      <c r="X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 s="100">
        <f>MAX(SamplingData[[#This Row],[Error Bound (up) - Max. possible relative overstatement - Losing Candidate]:[Error Bound (up) - Max. possible relative overstatement - Candidate 12]])</f>
        <v>1.0160307067058026E-3</v>
      </c>
      <c r="AC53" s="100">
        <f>IF(SamplingData[[#This Row],[Max Error Bound (up)]] = 0,0,SamplingData[[#This Row],[Max Error Bound (up)]]/SamplingData[[#Totals],[Max Error Bound (up)]])</f>
        <v>4.1236170194508727E-4</v>
      </c>
      <c r="AD53" s="104">
        <f>SUM($AC$5:AC53)</f>
        <v>5.6815443135572144E-2</v>
      </c>
      <c r="AE53" s="100" t="str" cm="1">
        <f t="array" ref="AE53">IF(SamplingData[[#This Row],[up/U Selection Probability]] = 0, "Zero", TEXT(SamplingData[[#This Row],[Lower Range]], REPT("0",LEN('General Info'!$B$42))) &amp; " - " &amp; TEXT(SamplingData[[#This Row],[Upper Range]], REPT("0",LEN('General Info'!$B$42))))</f>
        <v>05640 - 05681</v>
      </c>
      <c r="AF53" s="100">
        <f>SamplingData[[#This Row],[Upper Range]]-SamplingData[[#This Row],[Span]]</f>
        <v>5640.3081433627058</v>
      </c>
      <c r="AG53" s="100">
        <f>IF(ISNUMBER('General Info'!$B$42), ((SamplingData[[#This Row],[up/U Selection Probability]]) * 'General Info'!$B$44) - 1, 0)</f>
        <v>40.236170194508723</v>
      </c>
      <c r="AH53" s="100">
        <f>IF(ISNUMBER('General Info'!$B$42), (SamplingData[[#This Row],[Running (cumulative) sum]] * ('General Info'!$B$42 -'General Info'!$B$43 + 1)) + 'General Info'!$B$43 - 1, 0)</f>
        <v>5680.5443135572141</v>
      </c>
      <c r="AI53" s="100" t="str">
        <f>IF(ISERROR(MATCH(SamplingData[[#This Row],[Batch by Type (p)]],SelectedPrecincts[Batch Name], 0)), "", INDEX(SelectedPrecincts[Draw], MATCH(SamplingData[[#This Row],[Batch by Type (p)]],SelectedPrecincts[Batch Name], 0)))</f>
        <v/>
      </c>
      <c r="AJ53" s="101">
        <f>IF(COUNTIF(SelectedPrecincts[Batch Name],SamplingData[[#This Row],[Batch by Type (p)]]) &lt;&gt; 0, COUNTIF(SelectedPrecincts[Batch Name],SamplingData[[#This Row],[Batch by Type (p)]]), 0)</f>
        <v>0</v>
      </c>
    </row>
    <row r="54" spans="1:36" ht="15" customHeight="1" x14ac:dyDescent="0.35">
      <c r="A54" s="98" t="s">
        <v>265</v>
      </c>
      <c r="B54" s="98">
        <v>20</v>
      </c>
      <c r="C54" s="98">
        <v>0</v>
      </c>
      <c r="D54" s="93">
        <v>0</v>
      </c>
      <c r="E54" s="93"/>
      <c r="F54" s="93"/>
      <c r="G54" s="97"/>
      <c r="H54" s="97"/>
      <c r="I54" s="93"/>
      <c r="J54" s="93"/>
      <c r="K54" s="93"/>
      <c r="L54" s="93"/>
      <c r="M54" s="93"/>
      <c r="N54" s="98">
        <v>0</v>
      </c>
      <c r="O54" s="98">
        <v>0</v>
      </c>
      <c r="P54" s="99">
        <f>SUM(SamplingData[[#This Row],[Winning Candidate]:[Under Votes]])</f>
        <v>20</v>
      </c>
      <c r="Q54"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2.5282851905694963E-3</v>
      </c>
      <c r="R54" s="100">
        <f>IF(AND(SamplingData[[#This Row],[Total]]&lt;&gt; 0, NOT(ISBLANK(SamplingData[[#This Row],[Candidate 3]]))),(SamplingData[[#This Row],[Total]]+SamplingData[[#This Row],[Winning Candidate]]-SamplingData[[#This Row],[Candidate 3]])/(SamplingData[[#Totals],[Winning Candidate]]-SamplingData[[#Totals],[Candidate 3]]), 0)</f>
        <v>2.2578460149017838E-3</v>
      </c>
      <c r="S54" s="100">
        <f>IF(AND(SamplingData[[#This Row],[Total]]&lt;&gt; 0, NOT(ISBLANK(SamplingData[[#This Row],[Candidate 4]]))),(SamplingData[[#This Row],[Total]]+SamplingData[[#This Row],[Winning Candidate]]-SamplingData[[#This Row],[Candidate 4]])/(SamplingData[[#Totals],[Winning Candidate]]-SamplingData[[#Totals],[Candidate 4]]), 0)</f>
        <v>0</v>
      </c>
      <c r="T54" s="100">
        <f>IF(AND(SamplingData[[#This Row],[Total]]&lt;&gt; 0, NOT(ISBLANK(SamplingData[[#This Row],[Candidate 5]]))),(SamplingData[[#This Row],[Total]]+SamplingData[[#This Row],[Winning Candidate]]-SamplingData[[#This Row],[Candidate 5]])/(SamplingData[[#Totals],[Winning Candidate]]-SamplingData[[#Totals],[Candidate 5]]), 0)</f>
        <v>0</v>
      </c>
      <c r="U54" s="100">
        <f>IF(AND(SamplingData[[#This Row],[Total]]&lt;&gt; 0, NOT(ISBLANK(SamplingData[[#This Row],[Candidate 6]]))),(SamplingData[[#This Row],[Total]]+SamplingData[[#This Row],[Losing Candidate]]-SamplingData[[#This Row],[Candidate 6]])/(SamplingData[[#Totals],[Winning Candidate]]-SamplingData[[#Totals],[Candidate 6]]), 0)</f>
        <v>0</v>
      </c>
      <c r="V54" s="100">
        <f>IF(AND(SamplingData[[#This Row],[Total]]&lt;&gt; 0, NOT(ISBLANK(SamplingData[[#This Row],[Candidate 7]]))),(SamplingData[[#This Row],[Total]]+SamplingData[[#This Row],[Winning Candidate]]-SamplingData[[#This Row],[Candidate 7]])/(SamplingData[[#Totals],[Winning Candidate]]-SamplingData[[#Totals],[Candidate 7]]), 0)</f>
        <v>0</v>
      </c>
      <c r="W54" s="100">
        <f>IF(AND(SamplingData[[#This Row],[Total]]&lt;&gt; 0, NOT(ISBLANK(SamplingData[[#This Row],[Candidate 8]]))),(SamplingData[[#This Row],[Total]]+SamplingData[[#This Row],[Winning Candidate]]-SamplingData[[#This Row],[Candidate 8]])/(SamplingData[[#Totals],[Winning Candidate]]-SamplingData[[#Totals],[Candidate 8]]), 0)</f>
        <v>0</v>
      </c>
      <c r="X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 s="100">
        <f>MAX(SamplingData[[#This Row],[Error Bound (up) - Max. possible relative overstatement - Losing Candidate]:[Error Bound (up) - Max. possible relative overstatement - Candidate 12]])</f>
        <v>2.5282851905694963E-3</v>
      </c>
      <c r="AC54" s="100">
        <f>IF(SamplingData[[#This Row],[Max Error Bound (up)]] = 0,0,SamplingData[[#This Row],[Max Error Bound (up)]]/SamplingData[[#Totals],[Max Error Bound (up)]])</f>
        <v>1.0261185782130876E-3</v>
      </c>
      <c r="AD54" s="104">
        <f>SUM($AC$5:AC54)</f>
        <v>5.7841561713785232E-2</v>
      </c>
      <c r="AE54" s="100" t="str" cm="1">
        <f t="array" ref="AE54">IF(SamplingData[[#This Row],[up/U Selection Probability]] = 0, "Zero", TEXT(SamplingData[[#This Row],[Lower Range]], REPT("0",LEN('General Info'!$B$42))) &amp; " - " &amp; TEXT(SamplingData[[#This Row],[Upper Range]], REPT("0",LEN('General Info'!$B$42))))</f>
        <v>05682 - 05783</v>
      </c>
      <c r="AF54" s="100">
        <f>SamplingData[[#This Row],[Upper Range]]-SamplingData[[#This Row],[Span]]</f>
        <v>5681.5443135572141</v>
      </c>
      <c r="AG54" s="100">
        <f>IF(ISNUMBER('General Info'!$B$42), ((SamplingData[[#This Row],[up/U Selection Probability]]) * 'General Info'!$B$44) - 1, 0)</f>
        <v>101.61185782130876</v>
      </c>
      <c r="AH54" s="100">
        <f>IF(ISNUMBER('General Info'!$B$42), (SamplingData[[#This Row],[Running (cumulative) sum]] * ('General Info'!$B$42 -'General Info'!$B$43 + 1)) + 'General Info'!$B$43 - 1, 0)</f>
        <v>5783.1561713785231</v>
      </c>
      <c r="AI54" s="100" t="str">
        <f>IF(ISERROR(MATCH(SamplingData[[#This Row],[Batch by Type (p)]],SelectedPrecincts[Batch Name], 0)), "", INDEX(SelectedPrecincts[Draw], MATCH(SamplingData[[#This Row],[Batch by Type (p)]],SelectedPrecincts[Batch Name], 0)))</f>
        <v/>
      </c>
      <c r="AJ54" s="101">
        <f>IF(COUNTIF(SelectedPrecincts[Batch Name],SamplingData[[#This Row],[Batch by Type (p)]]) &lt;&gt; 0, COUNTIF(SelectedPrecincts[Batch Name],SamplingData[[#This Row],[Batch by Type (p)]]), 0)</f>
        <v>0</v>
      </c>
    </row>
    <row r="55" spans="1:36" ht="15" customHeight="1" x14ac:dyDescent="0.35">
      <c r="A55" s="98" t="s">
        <v>266</v>
      </c>
      <c r="B55" s="98">
        <v>15</v>
      </c>
      <c r="C55" s="98">
        <v>3</v>
      </c>
      <c r="D55" s="93">
        <v>1</v>
      </c>
      <c r="E55" s="93"/>
      <c r="F55" s="93"/>
      <c r="G55" s="97"/>
      <c r="H55" s="97"/>
      <c r="I55" s="93"/>
      <c r="J55" s="93"/>
      <c r="K55" s="93"/>
      <c r="L55" s="93"/>
      <c r="M55" s="93"/>
      <c r="N55" s="98">
        <v>0</v>
      </c>
      <c r="O55" s="98">
        <v>0</v>
      </c>
      <c r="P55" s="99">
        <f>SUM(SamplingData[[#This Row],[Winning Candidate]:[Under Votes]])</f>
        <v>19</v>
      </c>
      <c r="Q55" s="100">
        <f>IF(AND(SamplingData[[#This Row],[Total]]&lt;&gt; 0, NOT(ISBLANK(SamplingData[[#This Row],[Losing Candidate]]))),(SamplingData[[#This Row],[Total]]+SamplingData[[#This Row],[Winning Candidate]]-SamplingData[[#This Row],[Losing Candidate]])/(SamplingData[[#Totals],[Winning Candidate]]-SamplingData[[#Totals],[Losing Candidate]]), 0)</f>
        <v>1.9594210226913595E-3</v>
      </c>
      <c r="R55" s="100">
        <f>IF(AND(SamplingData[[#This Row],[Total]]&lt;&gt; 0, NOT(ISBLANK(SamplingData[[#This Row],[Candidate 3]]))),(SamplingData[[#This Row],[Total]]+SamplingData[[#This Row],[Winning Candidate]]-SamplingData[[#This Row],[Candidate 3]])/(SamplingData[[#Totals],[Winning Candidate]]-SamplingData[[#Totals],[Candidate 3]]), 0)</f>
        <v>1.8627229622939715E-3</v>
      </c>
      <c r="S55" s="100">
        <f>IF(AND(SamplingData[[#This Row],[Total]]&lt;&gt; 0, NOT(ISBLANK(SamplingData[[#This Row],[Candidate 4]]))),(SamplingData[[#This Row],[Total]]+SamplingData[[#This Row],[Winning Candidate]]-SamplingData[[#This Row],[Candidate 4]])/(SamplingData[[#Totals],[Winning Candidate]]-SamplingData[[#Totals],[Candidate 4]]), 0)</f>
        <v>0</v>
      </c>
      <c r="T55" s="100">
        <f>IF(AND(SamplingData[[#This Row],[Total]]&lt;&gt; 0, NOT(ISBLANK(SamplingData[[#This Row],[Candidate 5]]))),(SamplingData[[#This Row],[Total]]+SamplingData[[#This Row],[Winning Candidate]]-SamplingData[[#This Row],[Candidate 5]])/(SamplingData[[#Totals],[Winning Candidate]]-SamplingData[[#Totals],[Candidate 5]]), 0)</f>
        <v>0</v>
      </c>
      <c r="U55" s="100">
        <f>IF(AND(SamplingData[[#This Row],[Total]]&lt;&gt; 0, NOT(ISBLANK(SamplingData[[#This Row],[Candidate 6]]))),(SamplingData[[#This Row],[Total]]+SamplingData[[#This Row],[Losing Candidate]]-SamplingData[[#This Row],[Candidate 6]])/(SamplingData[[#Totals],[Winning Candidate]]-SamplingData[[#Totals],[Candidate 6]]), 0)</f>
        <v>0</v>
      </c>
      <c r="V55" s="100">
        <f>IF(AND(SamplingData[[#This Row],[Total]]&lt;&gt; 0, NOT(ISBLANK(SamplingData[[#This Row],[Candidate 7]]))),(SamplingData[[#This Row],[Total]]+SamplingData[[#This Row],[Winning Candidate]]-SamplingData[[#This Row],[Candidate 7]])/(SamplingData[[#Totals],[Winning Candidate]]-SamplingData[[#Totals],[Candidate 7]]), 0)</f>
        <v>0</v>
      </c>
      <c r="W55" s="100">
        <f>IF(AND(SamplingData[[#This Row],[Total]]&lt;&gt; 0, NOT(ISBLANK(SamplingData[[#This Row],[Candidate 8]]))),(SamplingData[[#This Row],[Total]]+SamplingData[[#This Row],[Winning Candidate]]-SamplingData[[#This Row],[Candidate 8]])/(SamplingData[[#Totals],[Winning Candidate]]-SamplingData[[#Totals],[Candidate 8]]), 0)</f>
        <v>0</v>
      </c>
      <c r="X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 s="100">
        <f>MAX(SamplingData[[#This Row],[Error Bound (up) - Max. possible relative overstatement - Losing Candidate]:[Error Bound (up) - Max. possible relative overstatement - Candidate 12]])</f>
        <v>1.9594210226913595E-3</v>
      </c>
      <c r="AC55" s="100">
        <f>IF(SamplingData[[#This Row],[Max Error Bound (up)]] = 0,0,SamplingData[[#This Row],[Max Error Bound (up)]]/SamplingData[[#Totals],[Max Error Bound (up)]])</f>
        <v>7.9524189811514283E-4</v>
      </c>
      <c r="AD55" s="104">
        <f>SUM($AC$5:AC55)</f>
        <v>5.8636803611900372E-2</v>
      </c>
      <c r="AE55" s="100" t="str" cm="1">
        <f t="array" ref="AE55">IF(SamplingData[[#This Row],[up/U Selection Probability]] = 0, "Zero", TEXT(SamplingData[[#This Row],[Lower Range]], REPT("0",LEN('General Info'!$B$42))) &amp; " - " &amp; TEXT(SamplingData[[#This Row],[Upper Range]], REPT("0",LEN('General Info'!$B$42))))</f>
        <v>05784 - 05863</v>
      </c>
      <c r="AF55" s="100">
        <f>SamplingData[[#This Row],[Upper Range]]-SamplingData[[#This Row],[Span]]</f>
        <v>5784.1561713785222</v>
      </c>
      <c r="AG55" s="100">
        <f>IF(ISNUMBER('General Info'!$B$42), ((SamplingData[[#This Row],[up/U Selection Probability]]) * 'General Info'!$B$44) - 1, 0)</f>
        <v>78.524189811514276</v>
      </c>
      <c r="AH55" s="100">
        <f>IF(ISNUMBER('General Info'!$B$42), (SamplingData[[#This Row],[Running (cumulative) sum]] * ('General Info'!$B$42 -'General Info'!$B$43 + 1)) + 'General Info'!$B$43 - 1, 0)</f>
        <v>5862.6803611900368</v>
      </c>
      <c r="AI55" s="100" t="str">
        <f>IF(ISERROR(MATCH(SamplingData[[#This Row],[Batch by Type (p)]],SelectedPrecincts[Batch Name], 0)), "", INDEX(SelectedPrecincts[Draw], MATCH(SamplingData[[#This Row],[Batch by Type (p)]],SelectedPrecincts[Batch Name], 0)))</f>
        <v/>
      </c>
      <c r="AJ55" s="101">
        <f>IF(COUNTIF(SelectedPrecincts[Batch Name],SamplingData[[#This Row],[Batch by Type (p)]]) &lt;&gt; 0, COUNTIF(SelectedPrecincts[Batch Name],SamplingData[[#This Row],[Batch by Type (p)]]), 0)</f>
        <v>0</v>
      </c>
    </row>
    <row r="56" spans="1:36" ht="15" customHeight="1" x14ac:dyDescent="0.35">
      <c r="A56" s="98" t="s">
        <v>267</v>
      </c>
      <c r="B56" s="98">
        <v>40</v>
      </c>
      <c r="C56" s="98">
        <v>5</v>
      </c>
      <c r="D56" s="93">
        <v>0</v>
      </c>
      <c r="E56" s="93"/>
      <c r="F56" s="93"/>
      <c r="G56" s="97"/>
      <c r="H56" s="97"/>
      <c r="I56" s="93"/>
      <c r="J56" s="93"/>
      <c r="K56" s="93"/>
      <c r="L56" s="93"/>
      <c r="M56" s="93"/>
      <c r="N56" s="98">
        <v>0</v>
      </c>
      <c r="O56" s="98">
        <v>1</v>
      </c>
      <c r="P56" s="99">
        <f>SUM(SamplingData[[#This Row],[Winning Candidate]:[Under Votes]])</f>
        <v>46</v>
      </c>
      <c r="Q56" s="100">
        <f>IF(AND(SamplingData[[#This Row],[Total]]&lt;&gt; 0, NOT(ISBLANK(SamplingData[[#This Row],[Losing Candidate]]))),(SamplingData[[#This Row],[Total]]+SamplingData[[#This Row],[Winning Candidate]]-SamplingData[[#This Row],[Losing Candidate]])/(SamplingData[[#Totals],[Winning Candidate]]-SamplingData[[#Totals],[Losing Candidate]]), 0)</f>
        <v>5.1197775109032301E-3</v>
      </c>
      <c r="R56" s="100">
        <f>IF(AND(SamplingData[[#This Row],[Total]]&lt;&gt; 0, NOT(ISBLANK(SamplingData[[#This Row],[Candidate 3]]))),(SamplingData[[#This Row],[Total]]+SamplingData[[#This Row],[Winning Candidate]]-SamplingData[[#This Row],[Candidate 3]])/(SamplingData[[#Totals],[Winning Candidate]]-SamplingData[[#Totals],[Candidate 3]]), 0)</f>
        <v>4.8543689320388345E-3</v>
      </c>
      <c r="S56" s="100">
        <f>IF(AND(SamplingData[[#This Row],[Total]]&lt;&gt; 0, NOT(ISBLANK(SamplingData[[#This Row],[Candidate 4]]))),(SamplingData[[#This Row],[Total]]+SamplingData[[#This Row],[Winning Candidate]]-SamplingData[[#This Row],[Candidate 4]])/(SamplingData[[#Totals],[Winning Candidate]]-SamplingData[[#Totals],[Candidate 4]]), 0)</f>
        <v>0</v>
      </c>
      <c r="T56" s="100">
        <f>IF(AND(SamplingData[[#This Row],[Total]]&lt;&gt; 0, NOT(ISBLANK(SamplingData[[#This Row],[Candidate 5]]))),(SamplingData[[#This Row],[Total]]+SamplingData[[#This Row],[Winning Candidate]]-SamplingData[[#This Row],[Candidate 5]])/(SamplingData[[#Totals],[Winning Candidate]]-SamplingData[[#Totals],[Candidate 5]]), 0)</f>
        <v>0</v>
      </c>
      <c r="U56" s="100">
        <f>IF(AND(SamplingData[[#This Row],[Total]]&lt;&gt; 0, NOT(ISBLANK(SamplingData[[#This Row],[Candidate 6]]))),(SamplingData[[#This Row],[Total]]+SamplingData[[#This Row],[Losing Candidate]]-SamplingData[[#This Row],[Candidate 6]])/(SamplingData[[#Totals],[Winning Candidate]]-SamplingData[[#Totals],[Candidate 6]]), 0)</f>
        <v>0</v>
      </c>
      <c r="V56" s="100">
        <f>IF(AND(SamplingData[[#This Row],[Total]]&lt;&gt; 0, NOT(ISBLANK(SamplingData[[#This Row],[Candidate 7]]))),(SamplingData[[#This Row],[Total]]+SamplingData[[#This Row],[Winning Candidate]]-SamplingData[[#This Row],[Candidate 7]])/(SamplingData[[#Totals],[Winning Candidate]]-SamplingData[[#Totals],[Candidate 7]]), 0)</f>
        <v>0</v>
      </c>
      <c r="W56" s="100">
        <f>IF(AND(SamplingData[[#This Row],[Total]]&lt;&gt; 0, NOT(ISBLANK(SamplingData[[#This Row],[Candidate 8]]))),(SamplingData[[#This Row],[Total]]+SamplingData[[#This Row],[Winning Candidate]]-SamplingData[[#This Row],[Candidate 8]])/(SamplingData[[#Totals],[Winning Candidate]]-SamplingData[[#Totals],[Candidate 8]]), 0)</f>
        <v>0</v>
      </c>
      <c r="X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 s="100">
        <f>MAX(SamplingData[[#This Row],[Error Bound (up) - Max. possible relative overstatement - Losing Candidate]:[Error Bound (up) - Max. possible relative overstatement - Candidate 12]])</f>
        <v>5.1197775109032301E-3</v>
      </c>
      <c r="AC56" s="100">
        <f>IF(SamplingData[[#This Row],[Max Error Bound (up)]] = 0,0,SamplingData[[#This Row],[Max Error Bound (up)]]/SamplingData[[#Totals],[Max Error Bound (up)]])</f>
        <v>2.0778901208815025E-3</v>
      </c>
      <c r="AD56" s="104">
        <f>SUM($AC$5:AC56)</f>
        <v>6.0714693732781877E-2</v>
      </c>
      <c r="AE56" s="100" t="str" cm="1">
        <f t="array" ref="AE56">IF(SamplingData[[#This Row],[up/U Selection Probability]] = 0, "Zero", TEXT(SamplingData[[#This Row],[Lower Range]], REPT("0",LEN('General Info'!$B$42))) &amp; " - " &amp; TEXT(SamplingData[[#This Row],[Upper Range]], REPT("0",LEN('General Info'!$B$42))))</f>
        <v>05864 - 06070</v>
      </c>
      <c r="AF56" s="100">
        <f>SamplingData[[#This Row],[Upper Range]]-SamplingData[[#This Row],[Span]]</f>
        <v>5863.6803611900377</v>
      </c>
      <c r="AG56" s="100">
        <f>IF(ISNUMBER('General Info'!$B$42), ((SamplingData[[#This Row],[up/U Selection Probability]]) * 'General Info'!$B$44) - 1, 0)</f>
        <v>206.78901208815026</v>
      </c>
      <c r="AH56" s="100">
        <f>IF(ISNUMBER('General Info'!$B$42), (SamplingData[[#This Row],[Running (cumulative) sum]] * ('General Info'!$B$42 -'General Info'!$B$43 + 1)) + 'General Info'!$B$43 - 1, 0)</f>
        <v>6070.469373278188</v>
      </c>
      <c r="AI56" s="100" t="str">
        <f>IF(ISERROR(MATCH(SamplingData[[#This Row],[Batch by Type (p)]],SelectedPrecincts[Batch Name], 0)), "", INDEX(SelectedPrecincts[Draw], MATCH(SamplingData[[#This Row],[Batch by Type (p)]],SelectedPrecincts[Batch Name], 0)))</f>
        <v/>
      </c>
      <c r="AJ56" s="101">
        <f>IF(COUNTIF(SelectedPrecincts[Batch Name],SamplingData[[#This Row],[Batch by Type (p)]]) &lt;&gt; 0, COUNTIF(SelectedPrecincts[Batch Name],SamplingData[[#This Row],[Batch by Type (p)]]), 0)</f>
        <v>0</v>
      </c>
    </row>
    <row r="57" spans="1:36" ht="15" customHeight="1" x14ac:dyDescent="0.35">
      <c r="A57" s="98" t="s">
        <v>268</v>
      </c>
      <c r="B57" s="98">
        <v>12</v>
      </c>
      <c r="C57" s="98">
        <v>0</v>
      </c>
      <c r="D57" s="93">
        <v>0</v>
      </c>
      <c r="E57" s="93"/>
      <c r="F57" s="93"/>
      <c r="G57" s="97"/>
      <c r="H57" s="97"/>
      <c r="I57" s="93"/>
      <c r="J57" s="93"/>
      <c r="K57" s="93"/>
      <c r="L57" s="93"/>
      <c r="M57" s="93"/>
      <c r="N57" s="98">
        <v>0</v>
      </c>
      <c r="O57" s="98">
        <v>0</v>
      </c>
      <c r="P57" s="99">
        <f>SUM(SamplingData[[#This Row],[Winning Candidate]:[Under Votes]])</f>
        <v>12</v>
      </c>
      <c r="Q57" s="100">
        <f>IF(AND(SamplingData[[#This Row],[Total]]&lt;&gt; 0, NOT(ISBLANK(SamplingData[[#This Row],[Losing Candidate]]))),(SamplingData[[#This Row],[Total]]+SamplingData[[#This Row],[Winning Candidate]]-SamplingData[[#This Row],[Losing Candidate]])/(SamplingData[[#Totals],[Winning Candidate]]-SamplingData[[#Totals],[Losing Candidate]]), 0)</f>
        <v>1.5169711143416978E-3</v>
      </c>
      <c r="R57" s="100">
        <f>IF(AND(SamplingData[[#This Row],[Total]]&lt;&gt; 0, NOT(ISBLANK(SamplingData[[#This Row],[Candidate 3]]))),(SamplingData[[#This Row],[Total]]+SamplingData[[#This Row],[Winning Candidate]]-SamplingData[[#This Row],[Candidate 3]])/(SamplingData[[#Totals],[Winning Candidate]]-SamplingData[[#Totals],[Candidate 3]]), 0)</f>
        <v>1.3547076089410702E-3</v>
      </c>
      <c r="S57" s="100">
        <f>IF(AND(SamplingData[[#This Row],[Total]]&lt;&gt; 0, NOT(ISBLANK(SamplingData[[#This Row],[Candidate 4]]))),(SamplingData[[#This Row],[Total]]+SamplingData[[#This Row],[Winning Candidate]]-SamplingData[[#This Row],[Candidate 4]])/(SamplingData[[#Totals],[Winning Candidate]]-SamplingData[[#Totals],[Candidate 4]]), 0)</f>
        <v>0</v>
      </c>
      <c r="T57" s="100">
        <f>IF(AND(SamplingData[[#This Row],[Total]]&lt;&gt; 0, NOT(ISBLANK(SamplingData[[#This Row],[Candidate 5]]))),(SamplingData[[#This Row],[Total]]+SamplingData[[#This Row],[Winning Candidate]]-SamplingData[[#This Row],[Candidate 5]])/(SamplingData[[#Totals],[Winning Candidate]]-SamplingData[[#Totals],[Candidate 5]]), 0)</f>
        <v>0</v>
      </c>
      <c r="U57" s="100">
        <f>IF(AND(SamplingData[[#This Row],[Total]]&lt;&gt; 0, NOT(ISBLANK(SamplingData[[#This Row],[Candidate 6]]))),(SamplingData[[#This Row],[Total]]+SamplingData[[#This Row],[Losing Candidate]]-SamplingData[[#This Row],[Candidate 6]])/(SamplingData[[#Totals],[Winning Candidate]]-SamplingData[[#Totals],[Candidate 6]]), 0)</f>
        <v>0</v>
      </c>
      <c r="V57" s="100">
        <f>IF(AND(SamplingData[[#This Row],[Total]]&lt;&gt; 0, NOT(ISBLANK(SamplingData[[#This Row],[Candidate 7]]))),(SamplingData[[#This Row],[Total]]+SamplingData[[#This Row],[Winning Candidate]]-SamplingData[[#This Row],[Candidate 7]])/(SamplingData[[#Totals],[Winning Candidate]]-SamplingData[[#Totals],[Candidate 7]]), 0)</f>
        <v>0</v>
      </c>
      <c r="W57" s="100">
        <f>IF(AND(SamplingData[[#This Row],[Total]]&lt;&gt; 0, NOT(ISBLANK(SamplingData[[#This Row],[Candidate 8]]))),(SamplingData[[#This Row],[Total]]+SamplingData[[#This Row],[Winning Candidate]]-SamplingData[[#This Row],[Candidate 8]])/(SamplingData[[#Totals],[Winning Candidate]]-SamplingData[[#Totals],[Candidate 8]]), 0)</f>
        <v>0</v>
      </c>
      <c r="X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 s="100">
        <f>MAX(SamplingData[[#This Row],[Error Bound (up) - Max. possible relative overstatement - Losing Candidate]:[Error Bound (up) - Max. possible relative overstatement - Candidate 12]])</f>
        <v>1.5169711143416978E-3</v>
      </c>
      <c r="AC57" s="100">
        <f>IF(SamplingData[[#This Row],[Max Error Bound (up)]] = 0,0,SamplingData[[#This Row],[Max Error Bound (up)]]/SamplingData[[#Totals],[Max Error Bound (up)]])</f>
        <v>6.1567114692785252E-4</v>
      </c>
      <c r="AD57" s="104">
        <f>SUM($AC$5:AC57)</f>
        <v>6.1330364879709727E-2</v>
      </c>
      <c r="AE57" s="100" t="str" cm="1">
        <f t="array" ref="AE57">IF(SamplingData[[#This Row],[up/U Selection Probability]] = 0, "Zero", TEXT(SamplingData[[#This Row],[Lower Range]], REPT("0",LEN('General Info'!$B$42))) &amp; " - " &amp; TEXT(SamplingData[[#This Row],[Upper Range]], REPT("0",LEN('General Info'!$B$42))))</f>
        <v>06071 - 06132</v>
      </c>
      <c r="AF57" s="100">
        <f>SamplingData[[#This Row],[Upper Range]]-SamplingData[[#This Row],[Span]]</f>
        <v>6071.469373278187</v>
      </c>
      <c r="AG57" s="100">
        <f>IF(ISNUMBER('General Info'!$B$42), ((SamplingData[[#This Row],[up/U Selection Probability]]) * 'General Info'!$B$44) - 1, 0)</f>
        <v>60.567114692785253</v>
      </c>
      <c r="AH57" s="100">
        <f>IF(ISNUMBER('General Info'!$B$42), (SamplingData[[#This Row],[Running (cumulative) sum]] * ('General Info'!$B$42 -'General Info'!$B$43 + 1)) + 'General Info'!$B$43 - 1, 0)</f>
        <v>6132.0364879709723</v>
      </c>
      <c r="AI57" s="100" t="str">
        <f>IF(ISERROR(MATCH(SamplingData[[#This Row],[Batch by Type (p)]],SelectedPrecincts[Batch Name], 0)), "", INDEX(SelectedPrecincts[Draw], MATCH(SamplingData[[#This Row],[Batch by Type (p)]],SelectedPrecincts[Batch Name], 0)))</f>
        <v/>
      </c>
      <c r="AJ57" s="101">
        <f>IF(COUNTIF(SelectedPrecincts[Batch Name],SamplingData[[#This Row],[Batch by Type (p)]]) &lt;&gt; 0, COUNTIF(SelectedPrecincts[Batch Name],SamplingData[[#This Row],[Batch by Type (p)]]), 0)</f>
        <v>0</v>
      </c>
    </row>
    <row r="58" spans="1:36" ht="15" customHeight="1" x14ac:dyDescent="0.35">
      <c r="A58" s="98" t="s">
        <v>269</v>
      </c>
      <c r="B58" s="98">
        <v>31</v>
      </c>
      <c r="C58" s="98">
        <v>0</v>
      </c>
      <c r="D58" s="93">
        <v>0</v>
      </c>
      <c r="E58" s="93"/>
      <c r="F58" s="93"/>
      <c r="G58" s="97"/>
      <c r="H58" s="97"/>
      <c r="I58" s="93"/>
      <c r="J58" s="93"/>
      <c r="K58" s="93"/>
      <c r="L58" s="93"/>
      <c r="M58" s="93"/>
      <c r="N58" s="98">
        <v>0</v>
      </c>
      <c r="O58" s="98">
        <v>1</v>
      </c>
      <c r="P58" s="99">
        <f>SUM(SamplingData[[#This Row],[Winning Candidate]:[Under Votes]])</f>
        <v>32</v>
      </c>
      <c r="Q58" s="100">
        <f>IF(AND(SamplingData[[#This Row],[Total]]&lt;&gt; 0, NOT(ISBLANK(SamplingData[[#This Row],[Losing Candidate]]))),(SamplingData[[#This Row],[Total]]+SamplingData[[#This Row],[Winning Candidate]]-SamplingData[[#This Row],[Losing Candidate]])/(SamplingData[[#Totals],[Winning Candidate]]-SamplingData[[#Totals],[Losing Candidate]]), 0)</f>
        <v>3.9820491751469565E-3</v>
      </c>
      <c r="R58" s="100">
        <f>IF(AND(SamplingData[[#This Row],[Total]]&lt;&gt; 0, NOT(ISBLANK(SamplingData[[#This Row],[Candidate 3]]))),(SamplingData[[#This Row],[Total]]+SamplingData[[#This Row],[Winning Candidate]]-SamplingData[[#This Row],[Candidate 3]])/(SamplingData[[#Totals],[Winning Candidate]]-SamplingData[[#Totals],[Candidate 3]]), 0)</f>
        <v>3.5561074734703092E-3</v>
      </c>
      <c r="S58" s="100">
        <f>IF(AND(SamplingData[[#This Row],[Total]]&lt;&gt; 0, NOT(ISBLANK(SamplingData[[#This Row],[Candidate 4]]))),(SamplingData[[#This Row],[Total]]+SamplingData[[#This Row],[Winning Candidate]]-SamplingData[[#This Row],[Candidate 4]])/(SamplingData[[#Totals],[Winning Candidate]]-SamplingData[[#Totals],[Candidate 4]]), 0)</f>
        <v>0</v>
      </c>
      <c r="T58" s="100">
        <f>IF(AND(SamplingData[[#This Row],[Total]]&lt;&gt; 0, NOT(ISBLANK(SamplingData[[#This Row],[Candidate 5]]))),(SamplingData[[#This Row],[Total]]+SamplingData[[#This Row],[Winning Candidate]]-SamplingData[[#This Row],[Candidate 5]])/(SamplingData[[#Totals],[Winning Candidate]]-SamplingData[[#Totals],[Candidate 5]]), 0)</f>
        <v>0</v>
      </c>
      <c r="U58" s="100">
        <f>IF(AND(SamplingData[[#This Row],[Total]]&lt;&gt; 0, NOT(ISBLANK(SamplingData[[#This Row],[Candidate 6]]))),(SamplingData[[#This Row],[Total]]+SamplingData[[#This Row],[Losing Candidate]]-SamplingData[[#This Row],[Candidate 6]])/(SamplingData[[#Totals],[Winning Candidate]]-SamplingData[[#Totals],[Candidate 6]]), 0)</f>
        <v>0</v>
      </c>
      <c r="V58" s="100">
        <f>IF(AND(SamplingData[[#This Row],[Total]]&lt;&gt; 0, NOT(ISBLANK(SamplingData[[#This Row],[Candidate 7]]))),(SamplingData[[#This Row],[Total]]+SamplingData[[#This Row],[Winning Candidate]]-SamplingData[[#This Row],[Candidate 7]])/(SamplingData[[#Totals],[Winning Candidate]]-SamplingData[[#Totals],[Candidate 7]]), 0)</f>
        <v>0</v>
      </c>
      <c r="W58" s="100">
        <f>IF(AND(SamplingData[[#This Row],[Total]]&lt;&gt; 0, NOT(ISBLANK(SamplingData[[#This Row],[Candidate 8]]))),(SamplingData[[#This Row],[Total]]+SamplingData[[#This Row],[Winning Candidate]]-SamplingData[[#This Row],[Candidate 8]])/(SamplingData[[#Totals],[Winning Candidate]]-SamplingData[[#Totals],[Candidate 8]]), 0)</f>
        <v>0</v>
      </c>
      <c r="X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 s="100">
        <f>MAX(SamplingData[[#This Row],[Error Bound (up) - Max. possible relative overstatement - Losing Candidate]:[Error Bound (up) - Max. possible relative overstatement - Candidate 12]])</f>
        <v>3.9820491751469565E-3</v>
      </c>
      <c r="AC58" s="100">
        <f>IF(SamplingData[[#This Row],[Max Error Bound (up)]] = 0,0,SamplingData[[#This Row],[Max Error Bound (up)]]/SamplingData[[#Totals],[Max Error Bound (up)]])</f>
        <v>1.6161367606856128E-3</v>
      </c>
      <c r="AD58" s="104">
        <f>SUM($AC$5:AC58)</f>
        <v>6.2946501640395336E-2</v>
      </c>
      <c r="AE58" s="100" t="str" cm="1">
        <f t="array" ref="AE58">IF(SamplingData[[#This Row],[up/U Selection Probability]] = 0, "Zero", TEXT(SamplingData[[#This Row],[Lower Range]], REPT("0",LEN('General Info'!$B$42))) &amp; " - " &amp; TEXT(SamplingData[[#This Row],[Upper Range]], REPT("0",LEN('General Info'!$B$42))))</f>
        <v>06133 - 06294</v>
      </c>
      <c r="AF58" s="100">
        <f>SamplingData[[#This Row],[Upper Range]]-SamplingData[[#This Row],[Span]]</f>
        <v>6133.0364879709723</v>
      </c>
      <c r="AG58" s="100">
        <f>IF(ISNUMBER('General Info'!$B$42), ((SamplingData[[#This Row],[up/U Selection Probability]]) * 'General Info'!$B$44) - 1, 0)</f>
        <v>160.61367606856129</v>
      </c>
      <c r="AH58" s="100">
        <f>IF(ISNUMBER('General Info'!$B$42), (SamplingData[[#This Row],[Running (cumulative) sum]] * ('General Info'!$B$42 -'General Info'!$B$43 + 1)) + 'General Info'!$B$43 - 1, 0)</f>
        <v>6293.6501640395336</v>
      </c>
      <c r="AI58" s="100" t="str">
        <f>IF(ISERROR(MATCH(SamplingData[[#This Row],[Batch by Type (p)]],SelectedPrecincts[Batch Name], 0)), "", INDEX(SelectedPrecincts[Draw], MATCH(SamplingData[[#This Row],[Batch by Type (p)]],SelectedPrecincts[Batch Name], 0)))</f>
        <v/>
      </c>
      <c r="AJ58" s="101">
        <f>IF(COUNTIF(SelectedPrecincts[Batch Name],SamplingData[[#This Row],[Batch by Type (p)]]) &lt;&gt; 0, COUNTIF(SelectedPrecincts[Batch Name],SamplingData[[#This Row],[Batch by Type (p)]]), 0)</f>
        <v>0</v>
      </c>
    </row>
    <row r="59" spans="1:36" ht="15" customHeight="1" x14ac:dyDescent="0.35">
      <c r="A59" s="98" t="s">
        <v>270</v>
      </c>
      <c r="B59" s="98">
        <v>12</v>
      </c>
      <c r="C59" s="98">
        <v>1</v>
      </c>
      <c r="D59" s="93">
        <v>0</v>
      </c>
      <c r="E59" s="93"/>
      <c r="F59" s="93"/>
      <c r="G59" s="97"/>
      <c r="H59" s="97"/>
      <c r="I59" s="93"/>
      <c r="J59" s="93"/>
      <c r="K59" s="93"/>
      <c r="L59" s="93"/>
      <c r="M59" s="93"/>
      <c r="N59" s="98">
        <v>0</v>
      </c>
      <c r="O59" s="98">
        <v>0</v>
      </c>
      <c r="P59" s="99">
        <f>SUM(SamplingData[[#This Row],[Winning Candidate]:[Under Votes]])</f>
        <v>13</v>
      </c>
      <c r="Q59" s="100">
        <f>IF(AND(SamplingData[[#This Row],[Total]]&lt;&gt; 0, NOT(ISBLANK(SamplingData[[#This Row],[Losing Candidate]]))),(SamplingData[[#This Row],[Total]]+SamplingData[[#This Row],[Winning Candidate]]-SamplingData[[#This Row],[Losing Candidate]])/(SamplingData[[#Totals],[Winning Candidate]]-SamplingData[[#Totals],[Losing Candidate]]), 0)</f>
        <v>1.5169711143416978E-3</v>
      </c>
      <c r="R59" s="100">
        <f>IF(AND(SamplingData[[#This Row],[Total]]&lt;&gt; 0, NOT(ISBLANK(SamplingData[[#This Row],[Candidate 3]]))),(SamplingData[[#This Row],[Total]]+SamplingData[[#This Row],[Winning Candidate]]-SamplingData[[#This Row],[Candidate 3]])/(SamplingData[[#Totals],[Winning Candidate]]-SamplingData[[#Totals],[Candidate 3]]), 0)</f>
        <v>1.4111537593136149E-3</v>
      </c>
      <c r="S59" s="100">
        <f>IF(AND(SamplingData[[#This Row],[Total]]&lt;&gt; 0, NOT(ISBLANK(SamplingData[[#This Row],[Candidate 4]]))),(SamplingData[[#This Row],[Total]]+SamplingData[[#This Row],[Winning Candidate]]-SamplingData[[#This Row],[Candidate 4]])/(SamplingData[[#Totals],[Winning Candidate]]-SamplingData[[#Totals],[Candidate 4]]), 0)</f>
        <v>0</v>
      </c>
      <c r="T59" s="100">
        <f>IF(AND(SamplingData[[#This Row],[Total]]&lt;&gt; 0, NOT(ISBLANK(SamplingData[[#This Row],[Candidate 5]]))),(SamplingData[[#This Row],[Total]]+SamplingData[[#This Row],[Winning Candidate]]-SamplingData[[#This Row],[Candidate 5]])/(SamplingData[[#Totals],[Winning Candidate]]-SamplingData[[#Totals],[Candidate 5]]), 0)</f>
        <v>0</v>
      </c>
      <c r="U59" s="100">
        <f>IF(AND(SamplingData[[#This Row],[Total]]&lt;&gt; 0, NOT(ISBLANK(SamplingData[[#This Row],[Candidate 6]]))),(SamplingData[[#This Row],[Total]]+SamplingData[[#This Row],[Losing Candidate]]-SamplingData[[#This Row],[Candidate 6]])/(SamplingData[[#Totals],[Winning Candidate]]-SamplingData[[#Totals],[Candidate 6]]), 0)</f>
        <v>0</v>
      </c>
      <c r="V59" s="100">
        <f>IF(AND(SamplingData[[#This Row],[Total]]&lt;&gt; 0, NOT(ISBLANK(SamplingData[[#This Row],[Candidate 7]]))),(SamplingData[[#This Row],[Total]]+SamplingData[[#This Row],[Winning Candidate]]-SamplingData[[#This Row],[Candidate 7]])/(SamplingData[[#Totals],[Winning Candidate]]-SamplingData[[#Totals],[Candidate 7]]), 0)</f>
        <v>0</v>
      </c>
      <c r="W59" s="100">
        <f>IF(AND(SamplingData[[#This Row],[Total]]&lt;&gt; 0, NOT(ISBLANK(SamplingData[[#This Row],[Candidate 8]]))),(SamplingData[[#This Row],[Total]]+SamplingData[[#This Row],[Winning Candidate]]-SamplingData[[#This Row],[Candidate 8]])/(SamplingData[[#Totals],[Winning Candidate]]-SamplingData[[#Totals],[Candidate 8]]), 0)</f>
        <v>0</v>
      </c>
      <c r="X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 s="100">
        <f>MAX(SamplingData[[#This Row],[Error Bound (up) - Max. possible relative overstatement - Losing Candidate]:[Error Bound (up) - Max. possible relative overstatement - Candidate 12]])</f>
        <v>1.5169711143416978E-3</v>
      </c>
      <c r="AC59" s="100">
        <f>IF(SamplingData[[#This Row],[Max Error Bound (up)]] = 0,0,SamplingData[[#This Row],[Max Error Bound (up)]]/SamplingData[[#Totals],[Max Error Bound (up)]])</f>
        <v>6.1567114692785252E-4</v>
      </c>
      <c r="AD59" s="104">
        <f>SUM($AC$5:AC59)</f>
        <v>6.3562172787323193E-2</v>
      </c>
      <c r="AE59" s="100" t="str" cm="1">
        <f t="array" ref="AE59">IF(SamplingData[[#This Row],[up/U Selection Probability]] = 0, "Zero", TEXT(SamplingData[[#This Row],[Lower Range]], REPT("0",LEN('General Info'!$B$42))) &amp; " - " &amp; TEXT(SamplingData[[#This Row],[Upper Range]], REPT("0",LEN('General Info'!$B$42))))</f>
        <v>06295 - 06355</v>
      </c>
      <c r="AF59" s="100">
        <f>SamplingData[[#This Row],[Upper Range]]-SamplingData[[#This Row],[Span]]</f>
        <v>6294.6501640395336</v>
      </c>
      <c r="AG59" s="100">
        <f>IF(ISNUMBER('General Info'!$B$42), ((SamplingData[[#This Row],[up/U Selection Probability]]) * 'General Info'!$B$44) - 1, 0)</f>
        <v>60.567114692785253</v>
      </c>
      <c r="AH59" s="100">
        <f>IF(ISNUMBER('General Info'!$B$42), (SamplingData[[#This Row],[Running (cumulative) sum]] * ('General Info'!$B$42 -'General Info'!$B$43 + 1)) + 'General Info'!$B$43 - 1, 0)</f>
        <v>6355.2172787323188</v>
      </c>
      <c r="AI59" s="100" t="str">
        <f>IF(ISERROR(MATCH(SamplingData[[#This Row],[Batch by Type (p)]],SelectedPrecincts[Batch Name], 0)), "", INDEX(SelectedPrecincts[Draw], MATCH(SamplingData[[#This Row],[Batch by Type (p)]],SelectedPrecincts[Batch Name], 0)))</f>
        <v/>
      </c>
      <c r="AJ59" s="101">
        <f>IF(COUNTIF(SelectedPrecincts[Batch Name],SamplingData[[#This Row],[Batch by Type (p)]]) &lt;&gt; 0, COUNTIF(SelectedPrecincts[Batch Name],SamplingData[[#This Row],[Batch by Type (p)]]), 0)</f>
        <v>0</v>
      </c>
    </row>
    <row r="60" spans="1:36" ht="15" customHeight="1" x14ac:dyDescent="0.35">
      <c r="A60" s="98" t="s">
        <v>271</v>
      </c>
      <c r="B60" s="98">
        <v>30</v>
      </c>
      <c r="C60" s="98">
        <v>0</v>
      </c>
      <c r="D60" s="93">
        <v>0</v>
      </c>
      <c r="E60" s="93"/>
      <c r="F60" s="93"/>
      <c r="G60" s="97"/>
      <c r="H60" s="97"/>
      <c r="I60" s="93"/>
      <c r="J60" s="93"/>
      <c r="K60" s="93"/>
      <c r="L60" s="93"/>
      <c r="M60" s="93"/>
      <c r="N60" s="98">
        <v>0</v>
      </c>
      <c r="O60" s="98">
        <v>0</v>
      </c>
      <c r="P60" s="99">
        <f>SUM(SamplingData[[#This Row],[Winning Candidate]:[Under Votes]])</f>
        <v>30</v>
      </c>
      <c r="Q60" s="100">
        <f>IF(AND(SamplingData[[#This Row],[Total]]&lt;&gt; 0, NOT(ISBLANK(SamplingData[[#This Row],[Losing Candidate]]))),(SamplingData[[#This Row],[Total]]+SamplingData[[#This Row],[Winning Candidate]]-SamplingData[[#This Row],[Losing Candidate]])/(SamplingData[[#Totals],[Winning Candidate]]-SamplingData[[#Totals],[Losing Candidate]]), 0)</f>
        <v>3.7924277858542442E-3</v>
      </c>
      <c r="R60" s="100">
        <f>IF(AND(SamplingData[[#This Row],[Total]]&lt;&gt; 0, NOT(ISBLANK(SamplingData[[#This Row],[Candidate 3]]))),(SamplingData[[#This Row],[Total]]+SamplingData[[#This Row],[Winning Candidate]]-SamplingData[[#This Row],[Candidate 3]])/(SamplingData[[#Totals],[Winning Candidate]]-SamplingData[[#Totals],[Candidate 3]]), 0)</f>
        <v>3.3867690223526757E-3</v>
      </c>
      <c r="S60" s="100">
        <f>IF(AND(SamplingData[[#This Row],[Total]]&lt;&gt; 0, NOT(ISBLANK(SamplingData[[#This Row],[Candidate 4]]))),(SamplingData[[#This Row],[Total]]+SamplingData[[#This Row],[Winning Candidate]]-SamplingData[[#This Row],[Candidate 4]])/(SamplingData[[#Totals],[Winning Candidate]]-SamplingData[[#Totals],[Candidate 4]]), 0)</f>
        <v>0</v>
      </c>
      <c r="T60" s="100">
        <f>IF(AND(SamplingData[[#This Row],[Total]]&lt;&gt; 0, NOT(ISBLANK(SamplingData[[#This Row],[Candidate 5]]))),(SamplingData[[#This Row],[Total]]+SamplingData[[#This Row],[Winning Candidate]]-SamplingData[[#This Row],[Candidate 5]])/(SamplingData[[#Totals],[Winning Candidate]]-SamplingData[[#Totals],[Candidate 5]]), 0)</f>
        <v>0</v>
      </c>
      <c r="U60" s="100">
        <f>IF(AND(SamplingData[[#This Row],[Total]]&lt;&gt; 0, NOT(ISBLANK(SamplingData[[#This Row],[Candidate 6]]))),(SamplingData[[#This Row],[Total]]+SamplingData[[#This Row],[Losing Candidate]]-SamplingData[[#This Row],[Candidate 6]])/(SamplingData[[#Totals],[Winning Candidate]]-SamplingData[[#Totals],[Candidate 6]]), 0)</f>
        <v>0</v>
      </c>
      <c r="V60" s="100">
        <f>IF(AND(SamplingData[[#This Row],[Total]]&lt;&gt; 0, NOT(ISBLANK(SamplingData[[#This Row],[Candidate 7]]))),(SamplingData[[#This Row],[Total]]+SamplingData[[#This Row],[Winning Candidate]]-SamplingData[[#This Row],[Candidate 7]])/(SamplingData[[#Totals],[Winning Candidate]]-SamplingData[[#Totals],[Candidate 7]]), 0)</f>
        <v>0</v>
      </c>
      <c r="W60" s="100">
        <f>IF(AND(SamplingData[[#This Row],[Total]]&lt;&gt; 0, NOT(ISBLANK(SamplingData[[#This Row],[Candidate 8]]))),(SamplingData[[#This Row],[Total]]+SamplingData[[#This Row],[Winning Candidate]]-SamplingData[[#This Row],[Candidate 8]])/(SamplingData[[#Totals],[Winning Candidate]]-SamplingData[[#Totals],[Candidate 8]]), 0)</f>
        <v>0</v>
      </c>
      <c r="X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 s="100">
        <f>MAX(SamplingData[[#This Row],[Error Bound (up) - Max. possible relative overstatement - Losing Candidate]:[Error Bound (up) - Max. possible relative overstatement - Candidate 12]])</f>
        <v>3.7924277858542442E-3</v>
      </c>
      <c r="AC60" s="100">
        <f>IF(SamplingData[[#This Row],[Max Error Bound (up)]] = 0,0,SamplingData[[#This Row],[Max Error Bound (up)]]/SamplingData[[#Totals],[Max Error Bound (up)]])</f>
        <v>1.5391778673196313E-3</v>
      </c>
      <c r="AD60" s="104">
        <f>SUM($AC$5:AC60)</f>
        <v>6.5101350654642828E-2</v>
      </c>
      <c r="AE60" s="100" t="str" cm="1">
        <f t="array" ref="AE60">IF(SamplingData[[#This Row],[up/U Selection Probability]] = 0, "Zero", TEXT(SamplingData[[#This Row],[Lower Range]], REPT("0",LEN('General Info'!$B$42))) &amp; " - " &amp; TEXT(SamplingData[[#This Row],[Upper Range]], REPT("0",LEN('General Info'!$B$42))))</f>
        <v>06356 - 06509</v>
      </c>
      <c r="AF60" s="100">
        <f>SamplingData[[#This Row],[Upper Range]]-SamplingData[[#This Row],[Span]]</f>
        <v>6356.2172787323198</v>
      </c>
      <c r="AG60" s="100">
        <f>IF(ISNUMBER('General Info'!$B$42), ((SamplingData[[#This Row],[up/U Selection Probability]]) * 'General Info'!$B$44) - 1, 0)</f>
        <v>152.91778673196313</v>
      </c>
      <c r="AH60" s="100">
        <f>IF(ISNUMBER('General Info'!$B$42), (SamplingData[[#This Row],[Running (cumulative) sum]] * ('General Info'!$B$42 -'General Info'!$B$43 + 1)) + 'General Info'!$B$43 - 1, 0)</f>
        <v>6509.1350654642829</v>
      </c>
      <c r="AI60" s="100" t="str">
        <f>IF(ISERROR(MATCH(SamplingData[[#This Row],[Batch by Type (p)]],SelectedPrecincts[Batch Name], 0)), "", INDEX(SelectedPrecincts[Draw], MATCH(SamplingData[[#This Row],[Batch by Type (p)]],SelectedPrecincts[Batch Name], 0)))</f>
        <v/>
      </c>
      <c r="AJ60" s="101">
        <f>IF(COUNTIF(SelectedPrecincts[Batch Name],SamplingData[[#This Row],[Batch by Type (p)]]) &lt;&gt; 0, COUNTIF(SelectedPrecincts[Batch Name],SamplingData[[#This Row],[Batch by Type (p)]]), 0)</f>
        <v>0</v>
      </c>
    </row>
    <row r="61" spans="1:36" ht="15" customHeight="1" x14ac:dyDescent="0.35">
      <c r="A61" s="98" t="s">
        <v>272</v>
      </c>
      <c r="B61" s="98">
        <v>25</v>
      </c>
      <c r="C61" s="98">
        <v>1</v>
      </c>
      <c r="D61" s="93">
        <v>0</v>
      </c>
      <c r="E61" s="93"/>
      <c r="F61" s="93"/>
      <c r="G61" s="97"/>
      <c r="H61" s="97"/>
      <c r="I61" s="93"/>
      <c r="J61" s="93"/>
      <c r="K61" s="93"/>
      <c r="L61" s="93"/>
      <c r="M61" s="93"/>
      <c r="N61" s="98">
        <v>0</v>
      </c>
      <c r="O61" s="98">
        <v>1</v>
      </c>
      <c r="P61" s="99">
        <f>SUM(SamplingData[[#This Row],[Winning Candidate]:[Under Votes]])</f>
        <v>27</v>
      </c>
      <c r="Q61" s="100">
        <f>IF(AND(SamplingData[[#This Row],[Total]]&lt;&gt; 0, NOT(ISBLANK(SamplingData[[#This Row],[Losing Candidate]]))),(SamplingData[[#This Row],[Total]]+SamplingData[[#This Row],[Winning Candidate]]-SamplingData[[#This Row],[Losing Candidate]])/(SamplingData[[#Totals],[Winning Candidate]]-SamplingData[[#Totals],[Losing Candidate]]), 0)</f>
        <v>3.2235636179761078E-3</v>
      </c>
      <c r="R61" s="100">
        <f>IF(AND(SamplingData[[#This Row],[Total]]&lt;&gt; 0, NOT(ISBLANK(SamplingData[[#This Row],[Candidate 3]]))),(SamplingData[[#This Row],[Total]]+SamplingData[[#This Row],[Winning Candidate]]-SamplingData[[#This Row],[Candidate 3]])/(SamplingData[[#Totals],[Winning Candidate]]-SamplingData[[#Totals],[Candidate 3]]), 0)</f>
        <v>2.935199819372319E-3</v>
      </c>
      <c r="S61" s="100">
        <f>IF(AND(SamplingData[[#This Row],[Total]]&lt;&gt; 0, NOT(ISBLANK(SamplingData[[#This Row],[Candidate 4]]))),(SamplingData[[#This Row],[Total]]+SamplingData[[#This Row],[Winning Candidate]]-SamplingData[[#This Row],[Candidate 4]])/(SamplingData[[#Totals],[Winning Candidate]]-SamplingData[[#Totals],[Candidate 4]]), 0)</f>
        <v>0</v>
      </c>
      <c r="T61" s="100">
        <f>IF(AND(SamplingData[[#This Row],[Total]]&lt;&gt; 0, NOT(ISBLANK(SamplingData[[#This Row],[Candidate 5]]))),(SamplingData[[#This Row],[Total]]+SamplingData[[#This Row],[Winning Candidate]]-SamplingData[[#This Row],[Candidate 5]])/(SamplingData[[#Totals],[Winning Candidate]]-SamplingData[[#Totals],[Candidate 5]]), 0)</f>
        <v>0</v>
      </c>
      <c r="U61" s="100">
        <f>IF(AND(SamplingData[[#This Row],[Total]]&lt;&gt; 0, NOT(ISBLANK(SamplingData[[#This Row],[Candidate 6]]))),(SamplingData[[#This Row],[Total]]+SamplingData[[#This Row],[Losing Candidate]]-SamplingData[[#This Row],[Candidate 6]])/(SamplingData[[#Totals],[Winning Candidate]]-SamplingData[[#Totals],[Candidate 6]]), 0)</f>
        <v>0</v>
      </c>
      <c r="V61" s="100">
        <f>IF(AND(SamplingData[[#This Row],[Total]]&lt;&gt; 0, NOT(ISBLANK(SamplingData[[#This Row],[Candidate 7]]))),(SamplingData[[#This Row],[Total]]+SamplingData[[#This Row],[Winning Candidate]]-SamplingData[[#This Row],[Candidate 7]])/(SamplingData[[#Totals],[Winning Candidate]]-SamplingData[[#Totals],[Candidate 7]]), 0)</f>
        <v>0</v>
      </c>
      <c r="W61" s="100">
        <f>IF(AND(SamplingData[[#This Row],[Total]]&lt;&gt; 0, NOT(ISBLANK(SamplingData[[#This Row],[Candidate 8]]))),(SamplingData[[#This Row],[Total]]+SamplingData[[#This Row],[Winning Candidate]]-SamplingData[[#This Row],[Candidate 8]])/(SamplingData[[#Totals],[Winning Candidate]]-SamplingData[[#Totals],[Candidate 8]]), 0)</f>
        <v>0</v>
      </c>
      <c r="X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1" s="100">
        <f>MAX(SamplingData[[#This Row],[Error Bound (up) - Max. possible relative overstatement - Losing Candidate]:[Error Bound (up) - Max. possible relative overstatement - Candidate 12]])</f>
        <v>3.2235636179761078E-3</v>
      </c>
      <c r="AC61" s="100">
        <f>IF(SamplingData[[#This Row],[Max Error Bound (up)]] = 0,0,SamplingData[[#This Row],[Max Error Bound (up)]]/SamplingData[[#Totals],[Max Error Bound (up)]])</f>
        <v>1.3083011872216867E-3</v>
      </c>
      <c r="AD61" s="104">
        <f>SUM($AC$5:AC61)</f>
        <v>6.6409651841864509E-2</v>
      </c>
      <c r="AE61" s="100" t="str" cm="1">
        <f t="array" ref="AE61">IF(SamplingData[[#This Row],[up/U Selection Probability]] = 0, "Zero", TEXT(SamplingData[[#This Row],[Lower Range]], REPT("0",LEN('General Info'!$B$42))) &amp; " - " &amp; TEXT(SamplingData[[#This Row],[Upper Range]], REPT("0",LEN('General Info'!$B$42))))</f>
        <v>06510 - 06640</v>
      </c>
      <c r="AF61" s="100">
        <f>SamplingData[[#This Row],[Upper Range]]-SamplingData[[#This Row],[Span]]</f>
        <v>6510.135065464282</v>
      </c>
      <c r="AG61" s="100">
        <f>IF(ISNUMBER('General Info'!$B$42), ((SamplingData[[#This Row],[up/U Selection Probability]]) * 'General Info'!$B$44) - 1, 0)</f>
        <v>129.83011872216866</v>
      </c>
      <c r="AH61" s="100">
        <f>IF(ISNUMBER('General Info'!$B$42), (SamplingData[[#This Row],[Running (cumulative) sum]] * ('General Info'!$B$42 -'General Info'!$B$43 + 1)) + 'General Info'!$B$43 - 1, 0)</f>
        <v>6639.9651841864506</v>
      </c>
      <c r="AI61" s="100" t="str">
        <f>IF(ISERROR(MATCH(SamplingData[[#This Row],[Batch by Type (p)]],SelectedPrecincts[Batch Name], 0)), "", INDEX(SelectedPrecincts[Draw], MATCH(SamplingData[[#This Row],[Batch by Type (p)]],SelectedPrecincts[Batch Name], 0)))</f>
        <v/>
      </c>
      <c r="AJ61" s="101">
        <f>IF(COUNTIF(SelectedPrecincts[Batch Name],SamplingData[[#This Row],[Batch by Type (p)]]) &lt;&gt; 0, COUNTIF(SelectedPrecincts[Batch Name],SamplingData[[#This Row],[Batch by Type (p)]]), 0)</f>
        <v>0</v>
      </c>
    </row>
    <row r="62" spans="1:36" ht="15" customHeight="1" x14ac:dyDescent="0.35">
      <c r="A62" s="98" t="s">
        <v>273</v>
      </c>
      <c r="B62" s="98">
        <v>24</v>
      </c>
      <c r="C62" s="98">
        <v>9</v>
      </c>
      <c r="D62" s="93">
        <v>3</v>
      </c>
      <c r="E62" s="93"/>
      <c r="F62" s="93"/>
      <c r="G62" s="97"/>
      <c r="H62" s="97"/>
      <c r="I62" s="93"/>
      <c r="J62" s="93"/>
      <c r="K62" s="93"/>
      <c r="L62" s="93"/>
      <c r="M62" s="93"/>
      <c r="N62" s="98">
        <v>0</v>
      </c>
      <c r="O62" s="98">
        <v>2</v>
      </c>
      <c r="P62" s="99">
        <f>SUM(SamplingData[[#This Row],[Winning Candidate]:[Under Votes]])</f>
        <v>38</v>
      </c>
      <c r="Q62" s="100">
        <f>IF(AND(SamplingData[[#This Row],[Total]]&lt;&gt; 0, NOT(ISBLANK(SamplingData[[#This Row],[Losing Candidate]]))),(SamplingData[[#This Row],[Total]]+SamplingData[[#This Row],[Winning Candidate]]-SamplingData[[#This Row],[Losing Candidate]])/(SamplingData[[#Totals],[Winning Candidate]]-SamplingData[[#Totals],[Losing Candidate]]), 0)</f>
        <v>3.3499778775045825E-3</v>
      </c>
      <c r="R62" s="100">
        <f>IF(AND(SamplingData[[#This Row],[Total]]&lt;&gt; 0, NOT(ISBLANK(SamplingData[[#This Row],[Candidate 3]]))),(SamplingData[[#This Row],[Total]]+SamplingData[[#This Row],[Winning Candidate]]-SamplingData[[#This Row],[Candidate 3]])/(SamplingData[[#Totals],[Winning Candidate]]-SamplingData[[#Totals],[Candidate 3]]), 0)</f>
        <v>3.330322871980131E-3</v>
      </c>
      <c r="S62" s="100">
        <f>IF(AND(SamplingData[[#This Row],[Total]]&lt;&gt; 0, NOT(ISBLANK(SamplingData[[#This Row],[Candidate 4]]))),(SamplingData[[#This Row],[Total]]+SamplingData[[#This Row],[Winning Candidate]]-SamplingData[[#This Row],[Candidate 4]])/(SamplingData[[#Totals],[Winning Candidate]]-SamplingData[[#Totals],[Candidate 4]]), 0)</f>
        <v>0</v>
      </c>
      <c r="T62" s="100">
        <f>IF(AND(SamplingData[[#This Row],[Total]]&lt;&gt; 0, NOT(ISBLANK(SamplingData[[#This Row],[Candidate 5]]))),(SamplingData[[#This Row],[Total]]+SamplingData[[#This Row],[Winning Candidate]]-SamplingData[[#This Row],[Candidate 5]])/(SamplingData[[#Totals],[Winning Candidate]]-SamplingData[[#Totals],[Candidate 5]]), 0)</f>
        <v>0</v>
      </c>
      <c r="U62" s="100">
        <f>IF(AND(SamplingData[[#This Row],[Total]]&lt;&gt; 0, NOT(ISBLANK(SamplingData[[#This Row],[Candidate 6]]))),(SamplingData[[#This Row],[Total]]+SamplingData[[#This Row],[Losing Candidate]]-SamplingData[[#This Row],[Candidate 6]])/(SamplingData[[#Totals],[Winning Candidate]]-SamplingData[[#Totals],[Candidate 6]]), 0)</f>
        <v>0</v>
      </c>
      <c r="V62" s="100">
        <f>IF(AND(SamplingData[[#This Row],[Total]]&lt;&gt; 0, NOT(ISBLANK(SamplingData[[#This Row],[Candidate 7]]))),(SamplingData[[#This Row],[Total]]+SamplingData[[#This Row],[Winning Candidate]]-SamplingData[[#This Row],[Candidate 7]])/(SamplingData[[#Totals],[Winning Candidate]]-SamplingData[[#Totals],[Candidate 7]]), 0)</f>
        <v>0</v>
      </c>
      <c r="W62" s="100">
        <f>IF(AND(SamplingData[[#This Row],[Total]]&lt;&gt; 0, NOT(ISBLANK(SamplingData[[#This Row],[Candidate 8]]))),(SamplingData[[#This Row],[Total]]+SamplingData[[#This Row],[Winning Candidate]]-SamplingData[[#This Row],[Candidate 8]])/(SamplingData[[#Totals],[Winning Candidate]]-SamplingData[[#Totals],[Candidate 8]]), 0)</f>
        <v>0</v>
      </c>
      <c r="X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2" s="100">
        <f>MAX(SamplingData[[#This Row],[Error Bound (up) - Max. possible relative overstatement - Losing Candidate]:[Error Bound (up) - Max. possible relative overstatement - Candidate 12]])</f>
        <v>3.3499778775045825E-3</v>
      </c>
      <c r="AC62" s="100">
        <f>IF(SamplingData[[#This Row],[Max Error Bound (up)]] = 0,0,SamplingData[[#This Row],[Max Error Bound (up)]]/SamplingData[[#Totals],[Max Error Bound (up)]])</f>
        <v>1.359607116132341E-3</v>
      </c>
      <c r="AD62" s="104">
        <f>SUM($AC$5:AC62)</f>
        <v>6.7769258957996847E-2</v>
      </c>
      <c r="AE62" s="100" t="str" cm="1">
        <f t="array" ref="AE62">IF(SamplingData[[#This Row],[up/U Selection Probability]] = 0, "Zero", TEXT(SamplingData[[#This Row],[Lower Range]], REPT("0",LEN('General Info'!$B$42))) &amp; " - " &amp; TEXT(SamplingData[[#This Row],[Upper Range]], REPT("0",LEN('General Info'!$B$42))))</f>
        <v>06641 - 06776</v>
      </c>
      <c r="AF62" s="100">
        <f>SamplingData[[#This Row],[Upper Range]]-SamplingData[[#This Row],[Span]]</f>
        <v>6640.9651841864506</v>
      </c>
      <c r="AG62" s="100">
        <f>IF(ISNUMBER('General Info'!$B$42), ((SamplingData[[#This Row],[up/U Selection Probability]]) * 'General Info'!$B$44) - 1, 0)</f>
        <v>134.96071161323411</v>
      </c>
      <c r="AH62" s="100">
        <f>IF(ISNUMBER('General Info'!$B$42), (SamplingData[[#This Row],[Running (cumulative) sum]] * ('General Info'!$B$42 -'General Info'!$B$43 + 1)) + 'General Info'!$B$43 - 1, 0)</f>
        <v>6775.9258957996844</v>
      </c>
      <c r="AI62" s="100" t="str">
        <f>IF(ISERROR(MATCH(SamplingData[[#This Row],[Batch by Type (p)]],SelectedPrecincts[Batch Name], 0)), "", INDEX(SelectedPrecincts[Draw], MATCH(SamplingData[[#This Row],[Batch by Type (p)]],SelectedPrecincts[Batch Name], 0)))</f>
        <v/>
      </c>
      <c r="AJ62" s="101">
        <f>IF(COUNTIF(SelectedPrecincts[Batch Name],SamplingData[[#This Row],[Batch by Type (p)]]) &lt;&gt; 0, COUNTIF(SelectedPrecincts[Batch Name],SamplingData[[#This Row],[Batch by Type (p)]]), 0)</f>
        <v>0</v>
      </c>
    </row>
    <row r="63" spans="1:36" ht="15" customHeight="1" x14ac:dyDescent="0.35">
      <c r="A63" s="98" t="s">
        <v>274</v>
      </c>
      <c r="B63" s="98">
        <v>10</v>
      </c>
      <c r="C63" s="98">
        <v>0</v>
      </c>
      <c r="D63" s="93">
        <v>0</v>
      </c>
      <c r="E63" s="93"/>
      <c r="F63" s="93"/>
      <c r="G63" s="97"/>
      <c r="H63" s="97"/>
      <c r="I63" s="93"/>
      <c r="J63" s="93"/>
      <c r="K63" s="93"/>
      <c r="L63" s="93"/>
      <c r="M63" s="93"/>
      <c r="N63" s="98">
        <v>1</v>
      </c>
      <c r="O63" s="98">
        <v>1</v>
      </c>
      <c r="P63" s="99">
        <f>SUM(SamplingData[[#This Row],[Winning Candidate]:[Under Votes]])</f>
        <v>12</v>
      </c>
      <c r="Q63"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63" s="100">
        <f>IF(AND(SamplingData[[#This Row],[Total]]&lt;&gt; 0, NOT(ISBLANK(SamplingData[[#This Row],[Candidate 3]]))),(SamplingData[[#This Row],[Total]]+SamplingData[[#This Row],[Winning Candidate]]-SamplingData[[#This Row],[Candidate 3]])/(SamplingData[[#Totals],[Winning Candidate]]-SamplingData[[#Totals],[Candidate 3]]), 0)</f>
        <v>1.241815308195981E-3</v>
      </c>
      <c r="S63" s="100">
        <f>IF(AND(SamplingData[[#This Row],[Total]]&lt;&gt; 0, NOT(ISBLANK(SamplingData[[#This Row],[Candidate 4]]))),(SamplingData[[#This Row],[Total]]+SamplingData[[#This Row],[Winning Candidate]]-SamplingData[[#This Row],[Candidate 4]])/(SamplingData[[#Totals],[Winning Candidate]]-SamplingData[[#Totals],[Candidate 4]]), 0)</f>
        <v>0</v>
      </c>
      <c r="T63" s="100">
        <f>IF(AND(SamplingData[[#This Row],[Total]]&lt;&gt; 0, NOT(ISBLANK(SamplingData[[#This Row],[Candidate 5]]))),(SamplingData[[#This Row],[Total]]+SamplingData[[#This Row],[Winning Candidate]]-SamplingData[[#This Row],[Candidate 5]])/(SamplingData[[#Totals],[Winning Candidate]]-SamplingData[[#Totals],[Candidate 5]]), 0)</f>
        <v>0</v>
      </c>
      <c r="U63" s="100">
        <f>IF(AND(SamplingData[[#This Row],[Total]]&lt;&gt; 0, NOT(ISBLANK(SamplingData[[#This Row],[Candidate 6]]))),(SamplingData[[#This Row],[Total]]+SamplingData[[#This Row],[Losing Candidate]]-SamplingData[[#This Row],[Candidate 6]])/(SamplingData[[#Totals],[Winning Candidate]]-SamplingData[[#Totals],[Candidate 6]]), 0)</f>
        <v>0</v>
      </c>
      <c r="V63" s="100">
        <f>IF(AND(SamplingData[[#This Row],[Total]]&lt;&gt; 0, NOT(ISBLANK(SamplingData[[#This Row],[Candidate 7]]))),(SamplingData[[#This Row],[Total]]+SamplingData[[#This Row],[Winning Candidate]]-SamplingData[[#This Row],[Candidate 7]])/(SamplingData[[#Totals],[Winning Candidate]]-SamplingData[[#Totals],[Candidate 7]]), 0)</f>
        <v>0</v>
      </c>
      <c r="W63" s="100">
        <f>IF(AND(SamplingData[[#This Row],[Total]]&lt;&gt; 0, NOT(ISBLANK(SamplingData[[#This Row],[Candidate 8]]))),(SamplingData[[#This Row],[Total]]+SamplingData[[#This Row],[Winning Candidate]]-SamplingData[[#This Row],[Candidate 8]])/(SamplingData[[#Totals],[Winning Candidate]]-SamplingData[[#Totals],[Candidate 8]]), 0)</f>
        <v>0</v>
      </c>
      <c r="X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3" s="100">
        <f>MAX(SamplingData[[#This Row],[Error Bound (up) - Max. possible relative overstatement - Losing Candidate]:[Error Bound (up) - Max. possible relative overstatement - Candidate 12]])</f>
        <v>1.3905568548132229E-3</v>
      </c>
      <c r="AC63" s="100">
        <f>IF(SamplingData[[#This Row],[Max Error Bound (up)]] = 0,0,SamplingData[[#This Row],[Max Error Bound (up)]]/SamplingData[[#Totals],[Max Error Bound (up)]])</f>
        <v>5.6436521801719809E-4</v>
      </c>
      <c r="AD63" s="104">
        <f>SUM($AC$5:AC63)</f>
        <v>6.8333624176014046E-2</v>
      </c>
      <c r="AE63" s="100" t="str" cm="1">
        <f t="array" ref="AE63">IF(SamplingData[[#This Row],[up/U Selection Probability]] = 0, "Zero", TEXT(SamplingData[[#This Row],[Lower Range]], REPT("0",LEN('General Info'!$B$42))) &amp; " - " &amp; TEXT(SamplingData[[#This Row],[Upper Range]], REPT("0",LEN('General Info'!$B$42))))</f>
        <v>06777 - 06832</v>
      </c>
      <c r="AF63" s="100">
        <f>SamplingData[[#This Row],[Upper Range]]-SamplingData[[#This Row],[Span]]</f>
        <v>6776.9258957996844</v>
      </c>
      <c r="AG63" s="100">
        <f>IF(ISNUMBER('General Info'!$B$42), ((SamplingData[[#This Row],[up/U Selection Probability]]) * 'General Info'!$B$44) - 1, 0)</f>
        <v>55.436521801719806</v>
      </c>
      <c r="AH63" s="100">
        <f>IF(ISNUMBER('General Info'!$B$42), (SamplingData[[#This Row],[Running (cumulative) sum]] * ('General Info'!$B$42 -'General Info'!$B$43 + 1)) + 'General Info'!$B$43 - 1, 0)</f>
        <v>6832.3624176014046</v>
      </c>
      <c r="AI63" s="100" t="str">
        <f>IF(ISERROR(MATCH(SamplingData[[#This Row],[Batch by Type (p)]],SelectedPrecincts[Batch Name], 0)), "", INDEX(SelectedPrecincts[Draw], MATCH(SamplingData[[#This Row],[Batch by Type (p)]],SelectedPrecincts[Batch Name], 0)))</f>
        <v/>
      </c>
      <c r="AJ63" s="101">
        <f>IF(COUNTIF(SelectedPrecincts[Batch Name],SamplingData[[#This Row],[Batch by Type (p)]]) &lt;&gt; 0, COUNTIF(SelectedPrecincts[Batch Name],SamplingData[[#This Row],[Batch by Type (p)]]), 0)</f>
        <v>0</v>
      </c>
    </row>
    <row r="64" spans="1:36" ht="15" customHeight="1" x14ac:dyDescent="0.35">
      <c r="A64" s="98" t="s">
        <v>275</v>
      </c>
      <c r="B64" s="98">
        <v>34</v>
      </c>
      <c r="C64" s="98">
        <v>6</v>
      </c>
      <c r="D64" s="93">
        <v>0</v>
      </c>
      <c r="E64" s="93"/>
      <c r="F64" s="93"/>
      <c r="G64" s="97"/>
      <c r="H64" s="97"/>
      <c r="I64" s="93"/>
      <c r="J64" s="93"/>
      <c r="K64" s="93"/>
      <c r="L64" s="93"/>
      <c r="M64" s="93"/>
      <c r="N64" s="98">
        <v>0</v>
      </c>
      <c r="O64" s="98">
        <v>0</v>
      </c>
      <c r="P64" s="99">
        <f>SUM(SamplingData[[#This Row],[Winning Candidate]:[Under Votes]])</f>
        <v>40</v>
      </c>
      <c r="Q64" s="100">
        <f>IF(AND(SamplingData[[#This Row],[Total]]&lt;&gt; 0, NOT(ISBLANK(SamplingData[[#This Row],[Losing Candidate]]))),(SamplingData[[#This Row],[Total]]+SamplingData[[#This Row],[Winning Candidate]]-SamplingData[[#This Row],[Losing Candidate]])/(SamplingData[[#Totals],[Winning Candidate]]-SamplingData[[#Totals],[Losing Candidate]]), 0)</f>
        <v>4.2980848239681435E-3</v>
      </c>
      <c r="R64" s="100">
        <f>IF(AND(SamplingData[[#This Row],[Total]]&lt;&gt; 0, NOT(ISBLANK(SamplingData[[#This Row],[Candidate 3]]))),(SamplingData[[#This Row],[Total]]+SamplingData[[#This Row],[Winning Candidate]]-SamplingData[[#This Row],[Candidate 3]])/(SamplingData[[#Totals],[Winning Candidate]]-SamplingData[[#Totals],[Candidate 3]]), 0)</f>
        <v>4.1770151275682997E-3</v>
      </c>
      <c r="S64" s="100">
        <f>IF(AND(SamplingData[[#This Row],[Total]]&lt;&gt; 0, NOT(ISBLANK(SamplingData[[#This Row],[Candidate 4]]))),(SamplingData[[#This Row],[Total]]+SamplingData[[#This Row],[Winning Candidate]]-SamplingData[[#This Row],[Candidate 4]])/(SamplingData[[#Totals],[Winning Candidate]]-SamplingData[[#Totals],[Candidate 4]]), 0)</f>
        <v>0</v>
      </c>
      <c r="T64" s="100">
        <f>IF(AND(SamplingData[[#This Row],[Total]]&lt;&gt; 0, NOT(ISBLANK(SamplingData[[#This Row],[Candidate 5]]))),(SamplingData[[#This Row],[Total]]+SamplingData[[#This Row],[Winning Candidate]]-SamplingData[[#This Row],[Candidate 5]])/(SamplingData[[#Totals],[Winning Candidate]]-SamplingData[[#Totals],[Candidate 5]]), 0)</f>
        <v>0</v>
      </c>
      <c r="U64" s="100">
        <f>IF(AND(SamplingData[[#This Row],[Total]]&lt;&gt; 0, NOT(ISBLANK(SamplingData[[#This Row],[Candidate 6]]))),(SamplingData[[#This Row],[Total]]+SamplingData[[#This Row],[Losing Candidate]]-SamplingData[[#This Row],[Candidate 6]])/(SamplingData[[#Totals],[Winning Candidate]]-SamplingData[[#Totals],[Candidate 6]]), 0)</f>
        <v>0</v>
      </c>
      <c r="V64" s="100">
        <f>IF(AND(SamplingData[[#This Row],[Total]]&lt;&gt; 0, NOT(ISBLANK(SamplingData[[#This Row],[Candidate 7]]))),(SamplingData[[#This Row],[Total]]+SamplingData[[#This Row],[Winning Candidate]]-SamplingData[[#This Row],[Candidate 7]])/(SamplingData[[#Totals],[Winning Candidate]]-SamplingData[[#Totals],[Candidate 7]]), 0)</f>
        <v>0</v>
      </c>
      <c r="W64" s="100">
        <f>IF(AND(SamplingData[[#This Row],[Total]]&lt;&gt; 0, NOT(ISBLANK(SamplingData[[#This Row],[Candidate 8]]))),(SamplingData[[#This Row],[Total]]+SamplingData[[#This Row],[Winning Candidate]]-SamplingData[[#This Row],[Candidate 8]])/(SamplingData[[#Totals],[Winning Candidate]]-SamplingData[[#Totals],[Candidate 8]]), 0)</f>
        <v>0</v>
      </c>
      <c r="X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4" s="100">
        <f>MAX(SamplingData[[#This Row],[Error Bound (up) - Max. possible relative overstatement - Losing Candidate]:[Error Bound (up) - Max. possible relative overstatement - Candidate 12]])</f>
        <v>4.2980848239681435E-3</v>
      </c>
      <c r="AC64" s="100">
        <f>IF(SamplingData[[#This Row],[Max Error Bound (up)]] = 0,0,SamplingData[[#This Row],[Max Error Bound (up)]]/SamplingData[[#Totals],[Max Error Bound (up)]])</f>
        <v>1.7444015829622488E-3</v>
      </c>
      <c r="AD64" s="104">
        <f>SUM($AC$5:AC64)</f>
        <v>7.0078025758976301E-2</v>
      </c>
      <c r="AE64" s="100" t="str" cm="1">
        <f t="array" ref="AE64">IF(SamplingData[[#This Row],[up/U Selection Probability]] = 0, "Zero", TEXT(SamplingData[[#This Row],[Lower Range]], REPT("0",LEN('General Info'!$B$42))) &amp; " - " &amp; TEXT(SamplingData[[#This Row],[Upper Range]], REPT("0",LEN('General Info'!$B$42))))</f>
        <v>06833 - 07007</v>
      </c>
      <c r="AF64" s="100">
        <f>SamplingData[[#This Row],[Upper Range]]-SamplingData[[#This Row],[Span]]</f>
        <v>6833.3624176014055</v>
      </c>
      <c r="AG64" s="100">
        <f>IF(ISNUMBER('General Info'!$B$42), ((SamplingData[[#This Row],[up/U Selection Probability]]) * 'General Info'!$B$44) - 1, 0)</f>
        <v>173.44015829622489</v>
      </c>
      <c r="AH64" s="100">
        <f>IF(ISNUMBER('General Info'!$B$42), (SamplingData[[#This Row],[Running (cumulative) sum]] * ('General Info'!$B$42 -'General Info'!$B$43 + 1)) + 'General Info'!$B$43 - 1, 0)</f>
        <v>7006.80257589763</v>
      </c>
      <c r="AI64" s="100" t="str">
        <f>IF(ISERROR(MATCH(SamplingData[[#This Row],[Batch by Type (p)]],SelectedPrecincts[Batch Name], 0)), "", INDEX(SelectedPrecincts[Draw], MATCH(SamplingData[[#This Row],[Batch by Type (p)]],SelectedPrecincts[Batch Name], 0)))</f>
        <v/>
      </c>
      <c r="AJ64" s="101">
        <f>IF(COUNTIF(SelectedPrecincts[Batch Name],SamplingData[[#This Row],[Batch by Type (p)]]) &lt;&gt; 0, COUNTIF(SelectedPrecincts[Batch Name],SamplingData[[#This Row],[Batch by Type (p)]]), 0)</f>
        <v>0</v>
      </c>
    </row>
    <row r="65" spans="1:36" ht="15" customHeight="1" x14ac:dyDescent="0.35">
      <c r="A65" s="98" t="s">
        <v>276</v>
      </c>
      <c r="B65" s="98">
        <v>22</v>
      </c>
      <c r="C65" s="98">
        <v>8</v>
      </c>
      <c r="D65" s="93">
        <v>4</v>
      </c>
      <c r="E65" s="93"/>
      <c r="F65" s="93"/>
      <c r="G65" s="97"/>
      <c r="H65" s="97"/>
      <c r="I65" s="93"/>
      <c r="J65" s="93"/>
      <c r="K65" s="93"/>
      <c r="L65" s="93"/>
      <c r="M65" s="93"/>
      <c r="N65" s="98">
        <v>0</v>
      </c>
      <c r="O65" s="98">
        <v>1</v>
      </c>
      <c r="P65" s="99">
        <f>SUM(SamplingData[[#This Row],[Winning Candidate]:[Under Votes]])</f>
        <v>35</v>
      </c>
      <c r="Q65" s="100">
        <f>IF(AND(SamplingData[[#This Row],[Total]]&lt;&gt; 0, NOT(ISBLANK(SamplingData[[#This Row],[Losing Candidate]]))),(SamplingData[[#This Row],[Total]]+SamplingData[[#This Row],[Winning Candidate]]-SamplingData[[#This Row],[Losing Candidate]])/(SamplingData[[#Totals],[Winning Candidate]]-SamplingData[[#Totals],[Losing Candidate]]), 0)</f>
        <v>3.0971493584476327E-3</v>
      </c>
      <c r="R65" s="100">
        <f>IF(AND(SamplingData[[#This Row],[Total]]&lt;&gt; 0, NOT(ISBLANK(SamplingData[[#This Row],[Candidate 3]]))),(SamplingData[[#This Row],[Total]]+SamplingData[[#This Row],[Winning Candidate]]-SamplingData[[#This Row],[Candidate 3]])/(SamplingData[[#Totals],[Winning Candidate]]-SamplingData[[#Totals],[Candidate 3]]), 0)</f>
        <v>2.9916459697448632E-3</v>
      </c>
      <c r="S65" s="100">
        <f>IF(AND(SamplingData[[#This Row],[Total]]&lt;&gt; 0, NOT(ISBLANK(SamplingData[[#This Row],[Candidate 4]]))),(SamplingData[[#This Row],[Total]]+SamplingData[[#This Row],[Winning Candidate]]-SamplingData[[#This Row],[Candidate 4]])/(SamplingData[[#Totals],[Winning Candidate]]-SamplingData[[#Totals],[Candidate 4]]), 0)</f>
        <v>0</v>
      </c>
      <c r="T65" s="100">
        <f>IF(AND(SamplingData[[#This Row],[Total]]&lt;&gt; 0, NOT(ISBLANK(SamplingData[[#This Row],[Candidate 5]]))),(SamplingData[[#This Row],[Total]]+SamplingData[[#This Row],[Winning Candidate]]-SamplingData[[#This Row],[Candidate 5]])/(SamplingData[[#Totals],[Winning Candidate]]-SamplingData[[#Totals],[Candidate 5]]), 0)</f>
        <v>0</v>
      </c>
      <c r="U65" s="100">
        <f>IF(AND(SamplingData[[#This Row],[Total]]&lt;&gt; 0, NOT(ISBLANK(SamplingData[[#This Row],[Candidate 6]]))),(SamplingData[[#This Row],[Total]]+SamplingData[[#This Row],[Losing Candidate]]-SamplingData[[#This Row],[Candidate 6]])/(SamplingData[[#Totals],[Winning Candidate]]-SamplingData[[#Totals],[Candidate 6]]), 0)</f>
        <v>0</v>
      </c>
      <c r="V65" s="100">
        <f>IF(AND(SamplingData[[#This Row],[Total]]&lt;&gt; 0, NOT(ISBLANK(SamplingData[[#This Row],[Candidate 7]]))),(SamplingData[[#This Row],[Total]]+SamplingData[[#This Row],[Winning Candidate]]-SamplingData[[#This Row],[Candidate 7]])/(SamplingData[[#Totals],[Winning Candidate]]-SamplingData[[#Totals],[Candidate 7]]), 0)</f>
        <v>0</v>
      </c>
      <c r="W65" s="100">
        <f>IF(AND(SamplingData[[#This Row],[Total]]&lt;&gt; 0, NOT(ISBLANK(SamplingData[[#This Row],[Candidate 8]]))),(SamplingData[[#This Row],[Total]]+SamplingData[[#This Row],[Winning Candidate]]-SamplingData[[#This Row],[Candidate 8]])/(SamplingData[[#Totals],[Winning Candidate]]-SamplingData[[#Totals],[Candidate 8]]), 0)</f>
        <v>0</v>
      </c>
      <c r="X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5" s="100">
        <f>MAX(SamplingData[[#This Row],[Error Bound (up) - Max. possible relative overstatement - Losing Candidate]:[Error Bound (up) - Max. possible relative overstatement - Candidate 12]])</f>
        <v>3.0971493584476327E-3</v>
      </c>
      <c r="AC65" s="100">
        <f>IF(SamplingData[[#This Row],[Max Error Bound (up)]] = 0,0,SamplingData[[#This Row],[Max Error Bound (up)]]/SamplingData[[#Totals],[Max Error Bound (up)]])</f>
        <v>1.2569952583110322E-3</v>
      </c>
      <c r="AD65" s="104">
        <f>SUM($AC$5:AC65)</f>
        <v>7.1335021017287337E-2</v>
      </c>
      <c r="AE65" s="100" t="str" cm="1">
        <f t="array" ref="AE65">IF(SamplingData[[#This Row],[up/U Selection Probability]] = 0, "Zero", TEXT(SamplingData[[#This Row],[Lower Range]], REPT("0",LEN('General Info'!$B$42))) &amp; " - " &amp; TEXT(SamplingData[[#This Row],[Upper Range]], REPT("0",LEN('General Info'!$B$42))))</f>
        <v>07008 - 07133</v>
      </c>
      <c r="AF65" s="100">
        <f>SamplingData[[#This Row],[Upper Range]]-SamplingData[[#This Row],[Span]]</f>
        <v>7007.80257589763</v>
      </c>
      <c r="AG65" s="100">
        <f>IF(ISNUMBER('General Info'!$B$42), ((SamplingData[[#This Row],[up/U Selection Probability]]) * 'General Info'!$B$44) - 1, 0)</f>
        <v>124.69952583110322</v>
      </c>
      <c r="AH65" s="100">
        <f>IF(ISNUMBER('General Info'!$B$42), (SamplingData[[#This Row],[Running (cumulative) sum]] * ('General Info'!$B$42 -'General Info'!$B$43 + 1)) + 'General Info'!$B$43 - 1, 0)</f>
        <v>7132.5021017287336</v>
      </c>
      <c r="AI65" s="100" t="str">
        <f>IF(ISERROR(MATCH(SamplingData[[#This Row],[Batch by Type (p)]],SelectedPrecincts[Batch Name], 0)), "", INDEX(SelectedPrecincts[Draw], MATCH(SamplingData[[#This Row],[Batch by Type (p)]],SelectedPrecincts[Batch Name], 0)))</f>
        <v/>
      </c>
      <c r="AJ65" s="101">
        <f>IF(COUNTIF(SelectedPrecincts[Batch Name],SamplingData[[#This Row],[Batch by Type (p)]]) &lt;&gt; 0, COUNTIF(SelectedPrecincts[Batch Name],SamplingData[[#This Row],[Batch by Type (p)]]), 0)</f>
        <v>0</v>
      </c>
    </row>
    <row r="66" spans="1:36" ht="15" customHeight="1" x14ac:dyDescent="0.35">
      <c r="A66" s="98" t="s">
        <v>277</v>
      </c>
      <c r="B66" s="98">
        <v>20</v>
      </c>
      <c r="C66" s="98">
        <v>2</v>
      </c>
      <c r="D66" s="93">
        <v>0</v>
      </c>
      <c r="E66" s="93"/>
      <c r="F66" s="93"/>
      <c r="G66" s="97"/>
      <c r="H66" s="97"/>
      <c r="I66" s="93"/>
      <c r="J66" s="93"/>
      <c r="K66" s="93"/>
      <c r="L66" s="93"/>
      <c r="M66" s="93"/>
      <c r="N66" s="98">
        <v>0</v>
      </c>
      <c r="O66" s="98">
        <v>0</v>
      </c>
      <c r="P66" s="99">
        <f>SUM(SamplingData[[#This Row],[Winning Candidate]:[Under Votes]])</f>
        <v>22</v>
      </c>
      <c r="Q66"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2.5282851905694963E-3</v>
      </c>
      <c r="R66" s="100">
        <f>IF(AND(SamplingData[[#This Row],[Total]]&lt;&gt; 0, NOT(ISBLANK(SamplingData[[#This Row],[Candidate 3]]))),(SamplingData[[#This Row],[Total]]+SamplingData[[#This Row],[Winning Candidate]]-SamplingData[[#This Row],[Candidate 3]])/(SamplingData[[#Totals],[Winning Candidate]]-SamplingData[[#Totals],[Candidate 3]]), 0)</f>
        <v>2.3707383156468731E-3</v>
      </c>
      <c r="S66" s="100">
        <f>IF(AND(SamplingData[[#This Row],[Total]]&lt;&gt; 0, NOT(ISBLANK(SamplingData[[#This Row],[Candidate 4]]))),(SamplingData[[#This Row],[Total]]+SamplingData[[#This Row],[Winning Candidate]]-SamplingData[[#This Row],[Candidate 4]])/(SamplingData[[#Totals],[Winning Candidate]]-SamplingData[[#Totals],[Candidate 4]]), 0)</f>
        <v>0</v>
      </c>
      <c r="T66" s="100">
        <f>IF(AND(SamplingData[[#This Row],[Total]]&lt;&gt; 0, NOT(ISBLANK(SamplingData[[#This Row],[Candidate 5]]))),(SamplingData[[#This Row],[Total]]+SamplingData[[#This Row],[Winning Candidate]]-SamplingData[[#This Row],[Candidate 5]])/(SamplingData[[#Totals],[Winning Candidate]]-SamplingData[[#Totals],[Candidate 5]]), 0)</f>
        <v>0</v>
      </c>
      <c r="U66" s="100">
        <f>IF(AND(SamplingData[[#This Row],[Total]]&lt;&gt; 0, NOT(ISBLANK(SamplingData[[#This Row],[Candidate 6]]))),(SamplingData[[#This Row],[Total]]+SamplingData[[#This Row],[Losing Candidate]]-SamplingData[[#This Row],[Candidate 6]])/(SamplingData[[#Totals],[Winning Candidate]]-SamplingData[[#Totals],[Candidate 6]]), 0)</f>
        <v>0</v>
      </c>
      <c r="V66" s="100">
        <f>IF(AND(SamplingData[[#This Row],[Total]]&lt;&gt; 0, NOT(ISBLANK(SamplingData[[#This Row],[Candidate 7]]))),(SamplingData[[#This Row],[Total]]+SamplingData[[#This Row],[Winning Candidate]]-SamplingData[[#This Row],[Candidate 7]])/(SamplingData[[#Totals],[Winning Candidate]]-SamplingData[[#Totals],[Candidate 7]]), 0)</f>
        <v>0</v>
      </c>
      <c r="W66" s="100">
        <f>IF(AND(SamplingData[[#This Row],[Total]]&lt;&gt; 0, NOT(ISBLANK(SamplingData[[#This Row],[Candidate 8]]))),(SamplingData[[#This Row],[Total]]+SamplingData[[#This Row],[Winning Candidate]]-SamplingData[[#This Row],[Candidate 8]])/(SamplingData[[#Totals],[Winning Candidate]]-SamplingData[[#Totals],[Candidate 8]]), 0)</f>
        <v>0</v>
      </c>
      <c r="X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6" s="100">
        <f>MAX(SamplingData[[#This Row],[Error Bound (up) - Max. possible relative overstatement - Losing Candidate]:[Error Bound (up) - Max. possible relative overstatement - Candidate 12]])</f>
        <v>2.5282851905694963E-3</v>
      </c>
      <c r="AC66" s="100">
        <f>IF(SamplingData[[#This Row],[Max Error Bound (up)]] = 0,0,SamplingData[[#This Row],[Max Error Bound (up)]]/SamplingData[[#Totals],[Max Error Bound (up)]])</f>
        <v>1.0261185782130876E-3</v>
      </c>
      <c r="AD66" s="104">
        <f>SUM($AC$5:AC66)</f>
        <v>7.2361139595500418E-2</v>
      </c>
      <c r="AE66" s="100" t="str" cm="1">
        <f t="array" ref="AE66">IF(SamplingData[[#This Row],[up/U Selection Probability]] = 0, "Zero", TEXT(SamplingData[[#This Row],[Lower Range]], REPT("0",LEN('General Info'!$B$42))) &amp; " - " &amp; TEXT(SamplingData[[#This Row],[Upper Range]], REPT("0",LEN('General Info'!$B$42))))</f>
        <v>07134 - 07235</v>
      </c>
      <c r="AF66" s="100">
        <f>SamplingData[[#This Row],[Upper Range]]-SamplingData[[#This Row],[Span]]</f>
        <v>7133.5021017287327</v>
      </c>
      <c r="AG66" s="100">
        <f>IF(ISNUMBER('General Info'!$B$42), ((SamplingData[[#This Row],[up/U Selection Probability]]) * 'General Info'!$B$44) - 1, 0)</f>
        <v>101.61185782130876</v>
      </c>
      <c r="AH66" s="100">
        <f>IF(ISNUMBER('General Info'!$B$42), (SamplingData[[#This Row],[Running (cumulative) sum]] * ('General Info'!$B$42 -'General Info'!$B$43 + 1)) + 'General Info'!$B$43 - 1, 0)</f>
        <v>7235.1139595500417</v>
      </c>
      <c r="AI66" s="100" t="str">
        <f>IF(ISERROR(MATCH(SamplingData[[#This Row],[Batch by Type (p)]],SelectedPrecincts[Batch Name], 0)), "", INDEX(SelectedPrecincts[Draw], MATCH(SamplingData[[#This Row],[Batch by Type (p)]],SelectedPrecincts[Batch Name], 0)))</f>
        <v/>
      </c>
      <c r="AJ66" s="101">
        <f>IF(COUNTIF(SelectedPrecincts[Batch Name],SamplingData[[#This Row],[Batch by Type (p)]]) &lt;&gt; 0, COUNTIF(SelectedPrecincts[Batch Name],SamplingData[[#This Row],[Batch by Type (p)]]), 0)</f>
        <v>0</v>
      </c>
    </row>
    <row r="67" spans="1:36" ht="15" customHeight="1" x14ac:dyDescent="0.35">
      <c r="A67" s="98" t="s">
        <v>278</v>
      </c>
      <c r="B67" s="98">
        <v>29</v>
      </c>
      <c r="C67" s="98">
        <v>2</v>
      </c>
      <c r="D67" s="93">
        <v>0</v>
      </c>
      <c r="E67" s="93"/>
      <c r="F67" s="93"/>
      <c r="G67" s="97"/>
      <c r="H67" s="97"/>
      <c r="I67" s="93"/>
      <c r="J67" s="93"/>
      <c r="K67" s="93"/>
      <c r="L67" s="93"/>
      <c r="M67" s="93"/>
      <c r="N67" s="98">
        <v>0</v>
      </c>
      <c r="O67" s="98">
        <v>0</v>
      </c>
      <c r="P67" s="99">
        <f>SUM(SamplingData[[#This Row],[Winning Candidate]:[Under Votes]])</f>
        <v>31</v>
      </c>
      <c r="Q67" s="100">
        <f>IF(AND(SamplingData[[#This Row],[Total]]&lt;&gt; 0, NOT(ISBLANK(SamplingData[[#This Row],[Losing Candidate]]))),(SamplingData[[#This Row],[Total]]+SamplingData[[#This Row],[Winning Candidate]]-SamplingData[[#This Row],[Losing Candidate]])/(SamplingData[[#Totals],[Winning Candidate]]-SamplingData[[#Totals],[Losing Candidate]]), 0)</f>
        <v>3.6660135263257695E-3</v>
      </c>
      <c r="R67" s="100">
        <f>IF(AND(SamplingData[[#This Row],[Total]]&lt;&gt; 0, NOT(ISBLANK(SamplingData[[#This Row],[Candidate 3]]))),(SamplingData[[#This Row],[Total]]+SamplingData[[#This Row],[Winning Candidate]]-SamplingData[[#This Row],[Candidate 3]])/(SamplingData[[#Totals],[Winning Candidate]]-SamplingData[[#Totals],[Candidate 3]]), 0)</f>
        <v>3.3867690223526757E-3</v>
      </c>
      <c r="S67" s="100">
        <f>IF(AND(SamplingData[[#This Row],[Total]]&lt;&gt; 0, NOT(ISBLANK(SamplingData[[#This Row],[Candidate 4]]))),(SamplingData[[#This Row],[Total]]+SamplingData[[#This Row],[Winning Candidate]]-SamplingData[[#This Row],[Candidate 4]])/(SamplingData[[#Totals],[Winning Candidate]]-SamplingData[[#Totals],[Candidate 4]]), 0)</f>
        <v>0</v>
      </c>
      <c r="T67" s="100">
        <f>IF(AND(SamplingData[[#This Row],[Total]]&lt;&gt; 0, NOT(ISBLANK(SamplingData[[#This Row],[Candidate 5]]))),(SamplingData[[#This Row],[Total]]+SamplingData[[#This Row],[Winning Candidate]]-SamplingData[[#This Row],[Candidate 5]])/(SamplingData[[#Totals],[Winning Candidate]]-SamplingData[[#Totals],[Candidate 5]]), 0)</f>
        <v>0</v>
      </c>
      <c r="U67" s="100">
        <f>IF(AND(SamplingData[[#This Row],[Total]]&lt;&gt; 0, NOT(ISBLANK(SamplingData[[#This Row],[Candidate 6]]))),(SamplingData[[#This Row],[Total]]+SamplingData[[#This Row],[Losing Candidate]]-SamplingData[[#This Row],[Candidate 6]])/(SamplingData[[#Totals],[Winning Candidate]]-SamplingData[[#Totals],[Candidate 6]]), 0)</f>
        <v>0</v>
      </c>
      <c r="V67" s="100">
        <f>IF(AND(SamplingData[[#This Row],[Total]]&lt;&gt; 0, NOT(ISBLANK(SamplingData[[#This Row],[Candidate 7]]))),(SamplingData[[#This Row],[Total]]+SamplingData[[#This Row],[Winning Candidate]]-SamplingData[[#This Row],[Candidate 7]])/(SamplingData[[#Totals],[Winning Candidate]]-SamplingData[[#Totals],[Candidate 7]]), 0)</f>
        <v>0</v>
      </c>
      <c r="W67" s="100">
        <f>IF(AND(SamplingData[[#This Row],[Total]]&lt;&gt; 0, NOT(ISBLANK(SamplingData[[#This Row],[Candidate 8]]))),(SamplingData[[#This Row],[Total]]+SamplingData[[#This Row],[Winning Candidate]]-SamplingData[[#This Row],[Candidate 8]])/(SamplingData[[#Totals],[Winning Candidate]]-SamplingData[[#Totals],[Candidate 8]]), 0)</f>
        <v>0</v>
      </c>
      <c r="X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7" s="100">
        <f>MAX(SamplingData[[#This Row],[Error Bound (up) - Max. possible relative overstatement - Losing Candidate]:[Error Bound (up) - Max. possible relative overstatement - Candidate 12]])</f>
        <v>3.6660135263257695E-3</v>
      </c>
      <c r="AC67" s="100">
        <f>IF(SamplingData[[#This Row],[Max Error Bound (up)]] = 0,0,SamplingData[[#This Row],[Max Error Bound (up)]]/SamplingData[[#Totals],[Max Error Bound (up)]])</f>
        <v>1.487871938408977E-3</v>
      </c>
      <c r="AD67" s="104">
        <f>SUM($AC$5:AC67)</f>
        <v>7.3849011533909395E-2</v>
      </c>
      <c r="AE67" s="100" t="str" cm="1">
        <f t="array" ref="AE67">IF(SamplingData[[#This Row],[up/U Selection Probability]] = 0, "Zero", TEXT(SamplingData[[#This Row],[Lower Range]], REPT("0",LEN('General Info'!$B$42))) &amp; " - " &amp; TEXT(SamplingData[[#This Row],[Upper Range]], REPT("0",LEN('General Info'!$B$42))))</f>
        <v>07236 - 07384</v>
      </c>
      <c r="AF67" s="100">
        <f>SamplingData[[#This Row],[Upper Range]]-SamplingData[[#This Row],[Span]]</f>
        <v>7236.1139595500417</v>
      </c>
      <c r="AG67" s="100">
        <f>IF(ISNUMBER('General Info'!$B$42), ((SamplingData[[#This Row],[up/U Selection Probability]]) * 'General Info'!$B$44) - 1, 0)</f>
        <v>147.78719384089771</v>
      </c>
      <c r="AH67" s="100">
        <f>IF(ISNUMBER('General Info'!$B$42), (SamplingData[[#This Row],[Running (cumulative) sum]] * ('General Info'!$B$42 -'General Info'!$B$43 + 1)) + 'General Info'!$B$43 - 1, 0)</f>
        <v>7383.9011533909397</v>
      </c>
      <c r="AI67" s="100" t="str">
        <f>IF(ISERROR(MATCH(SamplingData[[#This Row],[Batch by Type (p)]],SelectedPrecincts[Batch Name], 0)), "", INDEX(SelectedPrecincts[Draw], MATCH(SamplingData[[#This Row],[Batch by Type (p)]],SelectedPrecincts[Batch Name], 0)))</f>
        <v/>
      </c>
      <c r="AJ67" s="101">
        <f>IF(COUNTIF(SelectedPrecincts[Batch Name],SamplingData[[#This Row],[Batch by Type (p)]]) &lt;&gt; 0, COUNTIF(SelectedPrecincts[Batch Name],SamplingData[[#This Row],[Batch by Type (p)]]), 0)</f>
        <v>0</v>
      </c>
    </row>
    <row r="68" spans="1:36" ht="15" customHeight="1" x14ac:dyDescent="0.35">
      <c r="A68" s="98" t="s">
        <v>279</v>
      </c>
      <c r="B68" s="98">
        <v>36</v>
      </c>
      <c r="C68" s="98">
        <v>1</v>
      </c>
      <c r="D68" s="93">
        <v>2</v>
      </c>
      <c r="E68" s="93"/>
      <c r="F68" s="93"/>
      <c r="G68" s="97"/>
      <c r="H68" s="97"/>
      <c r="I68" s="93"/>
      <c r="J68" s="93"/>
      <c r="K68" s="93"/>
      <c r="L68" s="93"/>
      <c r="M68" s="93"/>
      <c r="N68" s="98">
        <v>0</v>
      </c>
      <c r="O68" s="98">
        <v>0</v>
      </c>
      <c r="P68" s="99">
        <f>SUM(SamplingData[[#This Row],[Winning Candidate]:[Under Votes]])</f>
        <v>39</v>
      </c>
      <c r="Q68" s="100">
        <f>IF(AND(SamplingData[[#This Row],[Total]]&lt;&gt; 0, NOT(ISBLANK(SamplingData[[#This Row],[Losing Candidate]]))),(SamplingData[[#This Row],[Total]]+SamplingData[[#This Row],[Winning Candidate]]-SamplingData[[#This Row],[Losing Candidate]])/(SamplingData[[#Totals],[Winning Candidate]]-SamplingData[[#Totals],[Losing Candidate]]), 0)</f>
        <v>4.677327602553568E-3</v>
      </c>
      <c r="R68" s="100">
        <f>IF(AND(SamplingData[[#This Row],[Total]]&lt;&gt; 0, NOT(ISBLANK(SamplingData[[#This Row],[Candidate 3]]))),(SamplingData[[#This Row],[Total]]+SamplingData[[#This Row],[Winning Candidate]]-SamplingData[[#This Row],[Candidate 3]])/(SamplingData[[#Totals],[Winning Candidate]]-SamplingData[[#Totals],[Candidate 3]]), 0)</f>
        <v>4.1205689771957555E-3</v>
      </c>
      <c r="S68" s="100">
        <f>IF(AND(SamplingData[[#This Row],[Total]]&lt;&gt; 0, NOT(ISBLANK(SamplingData[[#This Row],[Candidate 4]]))),(SamplingData[[#This Row],[Total]]+SamplingData[[#This Row],[Winning Candidate]]-SamplingData[[#This Row],[Candidate 4]])/(SamplingData[[#Totals],[Winning Candidate]]-SamplingData[[#Totals],[Candidate 4]]), 0)</f>
        <v>0</v>
      </c>
      <c r="T68" s="100">
        <f>IF(AND(SamplingData[[#This Row],[Total]]&lt;&gt; 0, NOT(ISBLANK(SamplingData[[#This Row],[Candidate 5]]))),(SamplingData[[#This Row],[Total]]+SamplingData[[#This Row],[Winning Candidate]]-SamplingData[[#This Row],[Candidate 5]])/(SamplingData[[#Totals],[Winning Candidate]]-SamplingData[[#Totals],[Candidate 5]]), 0)</f>
        <v>0</v>
      </c>
      <c r="U68" s="100">
        <f>IF(AND(SamplingData[[#This Row],[Total]]&lt;&gt; 0, NOT(ISBLANK(SamplingData[[#This Row],[Candidate 6]]))),(SamplingData[[#This Row],[Total]]+SamplingData[[#This Row],[Losing Candidate]]-SamplingData[[#This Row],[Candidate 6]])/(SamplingData[[#Totals],[Winning Candidate]]-SamplingData[[#Totals],[Candidate 6]]), 0)</f>
        <v>0</v>
      </c>
      <c r="V68" s="100">
        <f>IF(AND(SamplingData[[#This Row],[Total]]&lt;&gt; 0, NOT(ISBLANK(SamplingData[[#This Row],[Candidate 7]]))),(SamplingData[[#This Row],[Total]]+SamplingData[[#This Row],[Winning Candidate]]-SamplingData[[#This Row],[Candidate 7]])/(SamplingData[[#Totals],[Winning Candidate]]-SamplingData[[#Totals],[Candidate 7]]), 0)</f>
        <v>0</v>
      </c>
      <c r="W68" s="100">
        <f>IF(AND(SamplingData[[#This Row],[Total]]&lt;&gt; 0, NOT(ISBLANK(SamplingData[[#This Row],[Candidate 8]]))),(SamplingData[[#This Row],[Total]]+SamplingData[[#This Row],[Winning Candidate]]-SamplingData[[#This Row],[Candidate 8]])/(SamplingData[[#Totals],[Winning Candidate]]-SamplingData[[#Totals],[Candidate 8]]), 0)</f>
        <v>0</v>
      </c>
      <c r="X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8" s="100">
        <f>MAX(SamplingData[[#This Row],[Error Bound (up) - Max. possible relative overstatement - Losing Candidate]:[Error Bound (up) - Max. possible relative overstatement - Candidate 12]])</f>
        <v>4.677327602553568E-3</v>
      </c>
      <c r="AC68" s="100">
        <f>IF(SamplingData[[#This Row],[Max Error Bound (up)]] = 0,0,SamplingData[[#This Row],[Max Error Bound (up)]]/SamplingData[[#Totals],[Max Error Bound (up)]])</f>
        <v>1.898319369694212E-3</v>
      </c>
      <c r="AD68" s="104">
        <f>SUM($AC$5:AC68)</f>
        <v>7.574733090360361E-2</v>
      </c>
      <c r="AE68" s="100" t="str" cm="1">
        <f t="array" ref="AE68">IF(SamplingData[[#This Row],[up/U Selection Probability]] = 0, "Zero", TEXT(SamplingData[[#This Row],[Lower Range]], REPT("0",LEN('General Info'!$B$42))) &amp; " - " &amp; TEXT(SamplingData[[#This Row],[Upper Range]], REPT("0",LEN('General Info'!$B$42))))</f>
        <v>07385 - 07574</v>
      </c>
      <c r="AF68" s="100">
        <f>SamplingData[[#This Row],[Upper Range]]-SamplingData[[#This Row],[Span]]</f>
        <v>7384.9011533909397</v>
      </c>
      <c r="AG68" s="100">
        <f>IF(ISNUMBER('General Info'!$B$42), ((SamplingData[[#This Row],[up/U Selection Probability]]) * 'General Info'!$B$44) - 1, 0)</f>
        <v>188.83193696942121</v>
      </c>
      <c r="AH68" s="100">
        <f>IF(ISNUMBER('General Info'!$B$42), (SamplingData[[#This Row],[Running (cumulative) sum]] * ('General Info'!$B$42 -'General Info'!$B$43 + 1)) + 'General Info'!$B$43 - 1, 0)</f>
        <v>7573.7330903603606</v>
      </c>
      <c r="AI68" s="100" t="str">
        <f>IF(ISERROR(MATCH(SamplingData[[#This Row],[Batch by Type (p)]],SelectedPrecincts[Batch Name], 0)), "", INDEX(SelectedPrecincts[Draw], MATCH(SamplingData[[#This Row],[Batch by Type (p)]],SelectedPrecincts[Batch Name], 0)))</f>
        <v/>
      </c>
      <c r="AJ68" s="101">
        <f>IF(COUNTIF(SelectedPrecincts[Batch Name],SamplingData[[#This Row],[Batch by Type (p)]]) &lt;&gt; 0, COUNTIF(SelectedPrecincts[Batch Name],SamplingData[[#This Row],[Batch by Type (p)]]), 0)</f>
        <v>0</v>
      </c>
    </row>
    <row r="69" spans="1:36" ht="15" customHeight="1" x14ac:dyDescent="0.35">
      <c r="A69" s="98" t="s">
        <v>280</v>
      </c>
      <c r="B69" s="98">
        <v>45</v>
      </c>
      <c r="C69" s="98">
        <v>14</v>
      </c>
      <c r="D69" s="93">
        <v>8</v>
      </c>
      <c r="E69" s="93"/>
      <c r="F69" s="93"/>
      <c r="G69" s="97"/>
      <c r="H69" s="97"/>
      <c r="I69" s="93"/>
      <c r="J69" s="93"/>
      <c r="K69" s="93"/>
      <c r="L69" s="93"/>
      <c r="M69" s="93"/>
      <c r="N69" s="98">
        <v>0</v>
      </c>
      <c r="O69" s="98">
        <v>0</v>
      </c>
      <c r="P69" s="99">
        <f>SUM(SamplingData[[#This Row],[Winning Candidate]:[Under Votes]])</f>
        <v>67</v>
      </c>
      <c r="Q69" s="100">
        <f>IF(AND(SamplingData[[#This Row],[Total]]&lt;&gt; 0, NOT(ISBLANK(SamplingData[[#This Row],[Losing Candidate]]))),(SamplingData[[#This Row],[Total]]+SamplingData[[#This Row],[Winning Candidate]]-SamplingData[[#This Row],[Losing Candidate]])/(SamplingData[[#Totals],[Winning Candidate]]-SamplingData[[#Totals],[Losing Candidate]]), 0)</f>
        <v>6.1942987168952654E-3</v>
      </c>
      <c r="R69" s="100">
        <f>IF(AND(SamplingData[[#This Row],[Total]]&lt;&gt; 0, NOT(ISBLANK(SamplingData[[#This Row],[Candidate 3]]))),(SamplingData[[#This Row],[Total]]+SamplingData[[#This Row],[Winning Candidate]]-SamplingData[[#This Row],[Candidate 3]])/(SamplingData[[#Totals],[Winning Candidate]]-SamplingData[[#Totals],[Candidate 3]]), 0)</f>
        <v>5.870399638744638E-3</v>
      </c>
      <c r="S69" s="100">
        <f>IF(AND(SamplingData[[#This Row],[Total]]&lt;&gt; 0, NOT(ISBLANK(SamplingData[[#This Row],[Candidate 4]]))),(SamplingData[[#This Row],[Total]]+SamplingData[[#This Row],[Winning Candidate]]-SamplingData[[#This Row],[Candidate 4]])/(SamplingData[[#Totals],[Winning Candidate]]-SamplingData[[#Totals],[Candidate 4]]), 0)</f>
        <v>0</v>
      </c>
      <c r="T69" s="100">
        <f>IF(AND(SamplingData[[#This Row],[Total]]&lt;&gt; 0, NOT(ISBLANK(SamplingData[[#This Row],[Candidate 5]]))),(SamplingData[[#This Row],[Total]]+SamplingData[[#This Row],[Winning Candidate]]-SamplingData[[#This Row],[Candidate 5]])/(SamplingData[[#Totals],[Winning Candidate]]-SamplingData[[#Totals],[Candidate 5]]), 0)</f>
        <v>0</v>
      </c>
      <c r="U69" s="100">
        <f>IF(AND(SamplingData[[#This Row],[Total]]&lt;&gt; 0, NOT(ISBLANK(SamplingData[[#This Row],[Candidate 6]]))),(SamplingData[[#This Row],[Total]]+SamplingData[[#This Row],[Losing Candidate]]-SamplingData[[#This Row],[Candidate 6]])/(SamplingData[[#Totals],[Winning Candidate]]-SamplingData[[#Totals],[Candidate 6]]), 0)</f>
        <v>0</v>
      </c>
      <c r="V69" s="100">
        <f>IF(AND(SamplingData[[#This Row],[Total]]&lt;&gt; 0, NOT(ISBLANK(SamplingData[[#This Row],[Candidate 7]]))),(SamplingData[[#This Row],[Total]]+SamplingData[[#This Row],[Winning Candidate]]-SamplingData[[#This Row],[Candidate 7]])/(SamplingData[[#Totals],[Winning Candidate]]-SamplingData[[#Totals],[Candidate 7]]), 0)</f>
        <v>0</v>
      </c>
      <c r="W69" s="100">
        <f>IF(AND(SamplingData[[#This Row],[Total]]&lt;&gt; 0, NOT(ISBLANK(SamplingData[[#This Row],[Candidate 8]]))),(SamplingData[[#This Row],[Total]]+SamplingData[[#This Row],[Winning Candidate]]-SamplingData[[#This Row],[Candidate 8]])/(SamplingData[[#Totals],[Winning Candidate]]-SamplingData[[#Totals],[Candidate 8]]), 0)</f>
        <v>0</v>
      </c>
      <c r="X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9" s="100">
        <f>MAX(SamplingData[[#This Row],[Error Bound (up) - Max. possible relative overstatement - Losing Candidate]:[Error Bound (up) - Max. possible relative overstatement - Candidate 12]])</f>
        <v>6.1942987168952654E-3</v>
      </c>
      <c r="AC69" s="100">
        <f>IF(SamplingData[[#This Row],[Max Error Bound (up)]] = 0,0,SamplingData[[#This Row],[Max Error Bound (up)]]/SamplingData[[#Totals],[Max Error Bound (up)]])</f>
        <v>2.5139905166220644E-3</v>
      </c>
      <c r="AD69" s="104">
        <f>SUM($AC$5:AC69)</f>
        <v>7.8261321420225669E-2</v>
      </c>
      <c r="AE69" s="100" t="str" cm="1">
        <f t="array" ref="AE69">IF(SamplingData[[#This Row],[up/U Selection Probability]] = 0, "Zero", TEXT(SamplingData[[#This Row],[Lower Range]], REPT("0",LEN('General Info'!$B$42))) &amp; " - " &amp; TEXT(SamplingData[[#This Row],[Upper Range]], REPT("0",LEN('General Info'!$B$42))))</f>
        <v>07575 - 07825</v>
      </c>
      <c r="AF69" s="100">
        <f>SamplingData[[#This Row],[Upper Range]]-SamplingData[[#This Row],[Span]]</f>
        <v>7574.7330903603606</v>
      </c>
      <c r="AG69" s="100">
        <f>IF(ISNUMBER('General Info'!$B$42), ((SamplingData[[#This Row],[up/U Selection Probability]]) * 'General Info'!$B$44) - 1, 0)</f>
        <v>250.39905166220643</v>
      </c>
      <c r="AH69" s="100">
        <f>IF(ISNUMBER('General Info'!$B$42), (SamplingData[[#This Row],[Running (cumulative) sum]] * ('General Info'!$B$42 -'General Info'!$B$43 + 1)) + 'General Info'!$B$43 - 1, 0)</f>
        <v>7825.1321420225668</v>
      </c>
      <c r="AI69" s="100" t="str">
        <f>IF(ISERROR(MATCH(SamplingData[[#This Row],[Batch by Type (p)]],SelectedPrecincts[Batch Name], 0)), "", INDEX(SelectedPrecincts[Draw], MATCH(SamplingData[[#This Row],[Batch by Type (p)]],SelectedPrecincts[Batch Name], 0)))</f>
        <v/>
      </c>
      <c r="AJ69" s="101">
        <f>IF(COUNTIF(SelectedPrecincts[Batch Name],SamplingData[[#This Row],[Batch by Type (p)]]) &lt;&gt; 0, COUNTIF(SelectedPrecincts[Batch Name],SamplingData[[#This Row],[Batch by Type (p)]]), 0)</f>
        <v>0</v>
      </c>
    </row>
    <row r="70" spans="1:36" ht="15" customHeight="1" x14ac:dyDescent="0.35">
      <c r="A70" s="98" t="s">
        <v>281</v>
      </c>
      <c r="B70" s="98">
        <v>17</v>
      </c>
      <c r="C70" s="98">
        <v>3</v>
      </c>
      <c r="D70" s="93">
        <v>0</v>
      </c>
      <c r="E70" s="93"/>
      <c r="F70" s="93"/>
      <c r="G70" s="97"/>
      <c r="H70" s="97"/>
      <c r="I70" s="93"/>
      <c r="J70" s="93"/>
      <c r="K70" s="93"/>
      <c r="L70" s="93"/>
      <c r="M70" s="93"/>
      <c r="N70" s="98">
        <v>0</v>
      </c>
      <c r="O70" s="98">
        <v>1</v>
      </c>
      <c r="P70" s="99">
        <f>SUM(SamplingData[[#This Row],[Winning Candidate]:[Under Votes]])</f>
        <v>21</v>
      </c>
      <c r="Q70" s="100">
        <f>IF(AND(SamplingData[[#This Row],[Total]]&lt;&gt; 0, NOT(ISBLANK(SamplingData[[#This Row],[Losing Candidate]]))),(SamplingData[[#This Row],[Total]]+SamplingData[[#This Row],[Winning Candidate]]-SamplingData[[#This Row],[Losing Candidate]])/(SamplingData[[#Totals],[Winning Candidate]]-SamplingData[[#Totals],[Losing Candidate]]), 0)</f>
        <v>2.2122495417483093E-3</v>
      </c>
      <c r="R70" s="100">
        <f>IF(AND(SamplingData[[#This Row],[Total]]&lt;&gt; 0, NOT(ISBLANK(SamplingData[[#This Row],[Candidate 3]]))),(SamplingData[[#This Row],[Total]]+SamplingData[[#This Row],[Winning Candidate]]-SamplingData[[#This Row],[Candidate 3]])/(SamplingData[[#Totals],[Winning Candidate]]-SamplingData[[#Totals],[Candidate 3]]), 0)</f>
        <v>2.1449537141566945E-3</v>
      </c>
      <c r="S70" s="100">
        <f>IF(AND(SamplingData[[#This Row],[Total]]&lt;&gt; 0, NOT(ISBLANK(SamplingData[[#This Row],[Candidate 4]]))),(SamplingData[[#This Row],[Total]]+SamplingData[[#This Row],[Winning Candidate]]-SamplingData[[#This Row],[Candidate 4]])/(SamplingData[[#Totals],[Winning Candidate]]-SamplingData[[#Totals],[Candidate 4]]), 0)</f>
        <v>0</v>
      </c>
      <c r="T70" s="100">
        <f>IF(AND(SamplingData[[#This Row],[Total]]&lt;&gt; 0, NOT(ISBLANK(SamplingData[[#This Row],[Candidate 5]]))),(SamplingData[[#This Row],[Total]]+SamplingData[[#This Row],[Winning Candidate]]-SamplingData[[#This Row],[Candidate 5]])/(SamplingData[[#Totals],[Winning Candidate]]-SamplingData[[#Totals],[Candidate 5]]), 0)</f>
        <v>0</v>
      </c>
      <c r="U70" s="100">
        <f>IF(AND(SamplingData[[#This Row],[Total]]&lt;&gt; 0, NOT(ISBLANK(SamplingData[[#This Row],[Candidate 6]]))),(SamplingData[[#This Row],[Total]]+SamplingData[[#This Row],[Losing Candidate]]-SamplingData[[#This Row],[Candidate 6]])/(SamplingData[[#Totals],[Winning Candidate]]-SamplingData[[#Totals],[Candidate 6]]), 0)</f>
        <v>0</v>
      </c>
      <c r="V70" s="100">
        <f>IF(AND(SamplingData[[#This Row],[Total]]&lt;&gt; 0, NOT(ISBLANK(SamplingData[[#This Row],[Candidate 7]]))),(SamplingData[[#This Row],[Total]]+SamplingData[[#This Row],[Winning Candidate]]-SamplingData[[#This Row],[Candidate 7]])/(SamplingData[[#Totals],[Winning Candidate]]-SamplingData[[#Totals],[Candidate 7]]), 0)</f>
        <v>0</v>
      </c>
      <c r="W70" s="100">
        <f>IF(AND(SamplingData[[#This Row],[Total]]&lt;&gt; 0, NOT(ISBLANK(SamplingData[[#This Row],[Candidate 8]]))),(SamplingData[[#This Row],[Total]]+SamplingData[[#This Row],[Winning Candidate]]-SamplingData[[#This Row],[Candidate 8]])/(SamplingData[[#Totals],[Winning Candidate]]-SamplingData[[#Totals],[Candidate 8]]), 0)</f>
        <v>0</v>
      </c>
      <c r="X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0" s="100">
        <f>MAX(SamplingData[[#This Row],[Error Bound (up) - Max. possible relative overstatement - Losing Candidate]:[Error Bound (up) - Max. possible relative overstatement - Candidate 12]])</f>
        <v>2.2122495417483093E-3</v>
      </c>
      <c r="AC70" s="100">
        <f>IF(SamplingData[[#This Row],[Max Error Bound (up)]] = 0,0,SamplingData[[#This Row],[Max Error Bound (up)]]/SamplingData[[#Totals],[Max Error Bound (up)]])</f>
        <v>8.9785375593645167E-4</v>
      </c>
      <c r="AD70" s="104">
        <f>SUM($AC$5:AC70)</f>
        <v>7.9159175176162125E-2</v>
      </c>
      <c r="AE70" s="100" t="str" cm="1">
        <f t="array" ref="AE70">IF(SamplingData[[#This Row],[up/U Selection Probability]] = 0, "Zero", TEXT(SamplingData[[#This Row],[Lower Range]], REPT("0",LEN('General Info'!$B$42))) &amp; " - " &amp; TEXT(SamplingData[[#This Row],[Upper Range]], REPT("0",LEN('General Info'!$B$42))))</f>
        <v>07826 - 07915</v>
      </c>
      <c r="AF70" s="100">
        <f>SamplingData[[#This Row],[Upper Range]]-SamplingData[[#This Row],[Span]]</f>
        <v>7826.1321420225677</v>
      </c>
      <c r="AG70" s="100">
        <f>IF(ISNUMBER('General Info'!$B$42), ((SamplingData[[#This Row],[up/U Selection Probability]]) * 'General Info'!$B$44) - 1, 0)</f>
        <v>88.785375593645171</v>
      </c>
      <c r="AH70" s="100">
        <f>IF(ISNUMBER('General Info'!$B$42), (SamplingData[[#This Row],[Running (cumulative) sum]] * ('General Info'!$B$42 -'General Info'!$B$43 + 1)) + 'General Info'!$B$43 - 1, 0)</f>
        <v>7914.9175176162125</v>
      </c>
      <c r="AI70" s="100" t="str">
        <f>IF(ISERROR(MATCH(SamplingData[[#This Row],[Batch by Type (p)]],SelectedPrecincts[Batch Name], 0)), "", INDEX(SelectedPrecincts[Draw], MATCH(SamplingData[[#This Row],[Batch by Type (p)]],SelectedPrecincts[Batch Name], 0)))</f>
        <v/>
      </c>
      <c r="AJ70" s="101">
        <f>IF(COUNTIF(SelectedPrecincts[Batch Name],SamplingData[[#This Row],[Batch by Type (p)]]) &lt;&gt; 0, COUNTIF(SelectedPrecincts[Batch Name],SamplingData[[#This Row],[Batch by Type (p)]]), 0)</f>
        <v>0</v>
      </c>
    </row>
    <row r="71" spans="1:36" ht="15" customHeight="1" x14ac:dyDescent="0.35">
      <c r="A71" s="98" t="s">
        <v>282</v>
      </c>
      <c r="B71" s="98">
        <v>10</v>
      </c>
      <c r="C71" s="98">
        <v>0</v>
      </c>
      <c r="D71" s="93">
        <v>0</v>
      </c>
      <c r="E71" s="93"/>
      <c r="F71" s="93"/>
      <c r="G71" s="97"/>
      <c r="H71" s="97"/>
      <c r="I71" s="93"/>
      <c r="J71" s="93"/>
      <c r="K71" s="93"/>
      <c r="L71" s="93"/>
      <c r="M71" s="93"/>
      <c r="N71" s="98">
        <v>0</v>
      </c>
      <c r="O71" s="98">
        <v>0</v>
      </c>
      <c r="P71" s="99">
        <f>SUM(SamplingData[[#This Row],[Winning Candidate]:[Under Votes]])</f>
        <v>10</v>
      </c>
      <c r="Q71"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1.2641425952847481E-3</v>
      </c>
      <c r="R71" s="100">
        <f>IF(AND(SamplingData[[#This Row],[Total]]&lt;&gt; 0, NOT(ISBLANK(SamplingData[[#This Row],[Candidate 3]]))),(SamplingData[[#This Row],[Total]]+SamplingData[[#This Row],[Winning Candidate]]-SamplingData[[#This Row],[Candidate 3]])/(SamplingData[[#Totals],[Winning Candidate]]-SamplingData[[#Totals],[Candidate 3]]), 0)</f>
        <v>1.1289230074508919E-3</v>
      </c>
      <c r="S71" s="100">
        <f>IF(AND(SamplingData[[#This Row],[Total]]&lt;&gt; 0, NOT(ISBLANK(SamplingData[[#This Row],[Candidate 4]]))),(SamplingData[[#This Row],[Total]]+SamplingData[[#This Row],[Winning Candidate]]-SamplingData[[#This Row],[Candidate 4]])/(SamplingData[[#Totals],[Winning Candidate]]-SamplingData[[#Totals],[Candidate 4]]), 0)</f>
        <v>0</v>
      </c>
      <c r="T71" s="100">
        <f>IF(AND(SamplingData[[#This Row],[Total]]&lt;&gt; 0, NOT(ISBLANK(SamplingData[[#This Row],[Candidate 5]]))),(SamplingData[[#This Row],[Total]]+SamplingData[[#This Row],[Winning Candidate]]-SamplingData[[#This Row],[Candidate 5]])/(SamplingData[[#Totals],[Winning Candidate]]-SamplingData[[#Totals],[Candidate 5]]), 0)</f>
        <v>0</v>
      </c>
      <c r="U71" s="100">
        <f>IF(AND(SamplingData[[#This Row],[Total]]&lt;&gt; 0, NOT(ISBLANK(SamplingData[[#This Row],[Candidate 6]]))),(SamplingData[[#This Row],[Total]]+SamplingData[[#This Row],[Losing Candidate]]-SamplingData[[#This Row],[Candidate 6]])/(SamplingData[[#Totals],[Winning Candidate]]-SamplingData[[#Totals],[Candidate 6]]), 0)</f>
        <v>0</v>
      </c>
      <c r="V71" s="100">
        <f>IF(AND(SamplingData[[#This Row],[Total]]&lt;&gt; 0, NOT(ISBLANK(SamplingData[[#This Row],[Candidate 7]]))),(SamplingData[[#This Row],[Total]]+SamplingData[[#This Row],[Winning Candidate]]-SamplingData[[#This Row],[Candidate 7]])/(SamplingData[[#Totals],[Winning Candidate]]-SamplingData[[#Totals],[Candidate 7]]), 0)</f>
        <v>0</v>
      </c>
      <c r="W71" s="100">
        <f>IF(AND(SamplingData[[#This Row],[Total]]&lt;&gt; 0, NOT(ISBLANK(SamplingData[[#This Row],[Candidate 8]]))),(SamplingData[[#This Row],[Total]]+SamplingData[[#This Row],[Winning Candidate]]-SamplingData[[#This Row],[Candidate 8]])/(SamplingData[[#Totals],[Winning Candidate]]-SamplingData[[#Totals],[Candidate 8]]), 0)</f>
        <v>0</v>
      </c>
      <c r="X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1" s="100">
        <f>MAX(SamplingData[[#This Row],[Error Bound (up) - Max. possible relative overstatement - Losing Candidate]:[Error Bound (up) - Max. possible relative overstatement - Candidate 12]])</f>
        <v>1.2641425952847481E-3</v>
      </c>
      <c r="AC71" s="100">
        <f>IF(SamplingData[[#This Row],[Max Error Bound (up)]] = 0,0,SamplingData[[#This Row],[Max Error Bound (up)]]/SamplingData[[#Totals],[Max Error Bound (up)]])</f>
        <v>5.1305928910654378E-4</v>
      </c>
      <c r="AD71" s="104">
        <f>SUM($AC$5:AC71)</f>
        <v>7.9672234465268665E-2</v>
      </c>
      <c r="AE71" s="100" t="str" cm="1">
        <f t="array" ref="AE71">IF(SamplingData[[#This Row],[up/U Selection Probability]] = 0, "Zero", TEXT(SamplingData[[#This Row],[Lower Range]], REPT("0",LEN('General Info'!$B$42))) &amp; " - " &amp; TEXT(SamplingData[[#This Row],[Upper Range]], REPT("0",LEN('General Info'!$B$42))))</f>
        <v>07916 - 07966</v>
      </c>
      <c r="AF71" s="100">
        <f>SamplingData[[#This Row],[Upper Range]]-SamplingData[[#This Row],[Span]]</f>
        <v>7915.9175176162125</v>
      </c>
      <c r="AG71" s="100">
        <f>IF(ISNUMBER('General Info'!$B$42), ((SamplingData[[#This Row],[up/U Selection Probability]]) * 'General Info'!$B$44) - 1, 0)</f>
        <v>50.30592891065438</v>
      </c>
      <c r="AH71" s="100">
        <f>IF(ISNUMBER('General Info'!$B$42), (SamplingData[[#This Row],[Running (cumulative) sum]] * ('General Info'!$B$42 -'General Info'!$B$43 + 1)) + 'General Info'!$B$43 - 1, 0)</f>
        <v>7966.2234465268666</v>
      </c>
      <c r="AI71" s="100" t="str">
        <f>IF(ISERROR(MATCH(SamplingData[[#This Row],[Batch by Type (p)]],SelectedPrecincts[Batch Name], 0)), "", INDEX(SelectedPrecincts[Draw], MATCH(SamplingData[[#This Row],[Batch by Type (p)]],SelectedPrecincts[Batch Name], 0)))</f>
        <v/>
      </c>
      <c r="AJ71" s="101">
        <f>IF(COUNTIF(SelectedPrecincts[Batch Name],SamplingData[[#This Row],[Batch by Type (p)]]) &lt;&gt; 0, COUNTIF(SelectedPrecincts[Batch Name],SamplingData[[#This Row],[Batch by Type (p)]]), 0)</f>
        <v>0</v>
      </c>
    </row>
    <row r="72" spans="1:36" ht="15" customHeight="1" x14ac:dyDescent="0.35">
      <c r="A72" s="98" t="s">
        <v>283</v>
      </c>
      <c r="B72" s="98">
        <v>26</v>
      </c>
      <c r="C72" s="98">
        <v>6</v>
      </c>
      <c r="D72" s="93">
        <v>2</v>
      </c>
      <c r="E72" s="93"/>
      <c r="F72" s="93"/>
      <c r="G72" s="97"/>
      <c r="H72" s="97"/>
      <c r="I72" s="93"/>
      <c r="J72" s="93"/>
      <c r="K72" s="93"/>
      <c r="L72" s="93"/>
      <c r="M72" s="93"/>
      <c r="N72" s="98">
        <v>0</v>
      </c>
      <c r="O72" s="98">
        <v>0</v>
      </c>
      <c r="P72" s="99">
        <f>SUM(SamplingData[[#This Row],[Winning Candidate]:[Under Votes]])</f>
        <v>34</v>
      </c>
      <c r="Q72" s="100">
        <f>IF(AND(SamplingData[[#This Row],[Total]]&lt;&gt; 0, NOT(ISBLANK(SamplingData[[#This Row],[Losing Candidate]]))),(SamplingData[[#This Row],[Total]]+SamplingData[[#This Row],[Winning Candidate]]-SamplingData[[#This Row],[Losing Candidate]])/(SamplingData[[#Totals],[Winning Candidate]]-SamplingData[[#Totals],[Losing Candidate]]), 0)</f>
        <v>3.4131850072688201E-3</v>
      </c>
      <c r="R72" s="100">
        <f>IF(AND(SamplingData[[#This Row],[Total]]&lt;&gt; 0, NOT(ISBLANK(SamplingData[[#This Row],[Candidate 3]]))),(SamplingData[[#This Row],[Total]]+SamplingData[[#This Row],[Winning Candidate]]-SamplingData[[#This Row],[Candidate 3]])/(SamplingData[[#Totals],[Winning Candidate]]-SamplingData[[#Totals],[Candidate 3]]), 0)</f>
        <v>3.2738767216075864E-3</v>
      </c>
      <c r="S72" s="100">
        <f>IF(AND(SamplingData[[#This Row],[Total]]&lt;&gt; 0, NOT(ISBLANK(SamplingData[[#This Row],[Candidate 4]]))),(SamplingData[[#This Row],[Total]]+SamplingData[[#This Row],[Winning Candidate]]-SamplingData[[#This Row],[Candidate 4]])/(SamplingData[[#Totals],[Winning Candidate]]-SamplingData[[#Totals],[Candidate 4]]), 0)</f>
        <v>0</v>
      </c>
      <c r="T72" s="100">
        <f>IF(AND(SamplingData[[#This Row],[Total]]&lt;&gt; 0, NOT(ISBLANK(SamplingData[[#This Row],[Candidate 5]]))),(SamplingData[[#This Row],[Total]]+SamplingData[[#This Row],[Winning Candidate]]-SamplingData[[#This Row],[Candidate 5]])/(SamplingData[[#Totals],[Winning Candidate]]-SamplingData[[#Totals],[Candidate 5]]), 0)</f>
        <v>0</v>
      </c>
      <c r="U72" s="100">
        <f>IF(AND(SamplingData[[#This Row],[Total]]&lt;&gt; 0, NOT(ISBLANK(SamplingData[[#This Row],[Candidate 6]]))),(SamplingData[[#This Row],[Total]]+SamplingData[[#This Row],[Losing Candidate]]-SamplingData[[#This Row],[Candidate 6]])/(SamplingData[[#Totals],[Winning Candidate]]-SamplingData[[#Totals],[Candidate 6]]), 0)</f>
        <v>0</v>
      </c>
      <c r="V72" s="100">
        <f>IF(AND(SamplingData[[#This Row],[Total]]&lt;&gt; 0, NOT(ISBLANK(SamplingData[[#This Row],[Candidate 7]]))),(SamplingData[[#This Row],[Total]]+SamplingData[[#This Row],[Winning Candidate]]-SamplingData[[#This Row],[Candidate 7]])/(SamplingData[[#Totals],[Winning Candidate]]-SamplingData[[#Totals],[Candidate 7]]), 0)</f>
        <v>0</v>
      </c>
      <c r="W72" s="100">
        <f>IF(AND(SamplingData[[#This Row],[Total]]&lt;&gt; 0, NOT(ISBLANK(SamplingData[[#This Row],[Candidate 8]]))),(SamplingData[[#This Row],[Total]]+SamplingData[[#This Row],[Winning Candidate]]-SamplingData[[#This Row],[Candidate 8]])/(SamplingData[[#Totals],[Winning Candidate]]-SamplingData[[#Totals],[Candidate 8]]), 0)</f>
        <v>0</v>
      </c>
      <c r="X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2" s="100">
        <f>MAX(SamplingData[[#This Row],[Error Bound (up) - Max. possible relative overstatement - Losing Candidate]:[Error Bound (up) - Max. possible relative overstatement - Candidate 12]])</f>
        <v>3.4131850072688201E-3</v>
      </c>
      <c r="AC72" s="100">
        <f>IF(SamplingData[[#This Row],[Max Error Bound (up)]] = 0,0,SamplingData[[#This Row],[Max Error Bound (up)]]/SamplingData[[#Totals],[Max Error Bound (up)]])</f>
        <v>1.3852600805876682E-3</v>
      </c>
      <c r="AD72" s="104">
        <f>SUM($AC$5:AC72)</f>
        <v>8.105749454585634E-2</v>
      </c>
      <c r="AE72" s="100" t="str" cm="1">
        <f t="array" ref="AE72">IF(SamplingData[[#This Row],[up/U Selection Probability]] = 0, "Zero", TEXT(SamplingData[[#This Row],[Lower Range]], REPT("0",LEN('General Info'!$B$42))) &amp; " - " &amp; TEXT(SamplingData[[#This Row],[Upper Range]], REPT("0",LEN('General Info'!$B$42))))</f>
        <v>07967 - 08105</v>
      </c>
      <c r="AF72" s="100">
        <f>SamplingData[[#This Row],[Upper Range]]-SamplingData[[#This Row],[Span]]</f>
        <v>7967.2234465268675</v>
      </c>
      <c r="AG72" s="100">
        <f>IF(ISNUMBER('General Info'!$B$42), ((SamplingData[[#This Row],[up/U Selection Probability]]) * 'General Info'!$B$44) - 1, 0)</f>
        <v>137.52600805876682</v>
      </c>
      <c r="AH72" s="100">
        <f>IF(ISNUMBER('General Info'!$B$42), (SamplingData[[#This Row],[Running (cumulative) sum]] * ('General Info'!$B$42 -'General Info'!$B$43 + 1)) + 'General Info'!$B$43 - 1, 0)</f>
        <v>8104.7494545856343</v>
      </c>
      <c r="AI72" s="100" t="str">
        <f>IF(ISERROR(MATCH(SamplingData[[#This Row],[Batch by Type (p)]],SelectedPrecincts[Batch Name], 0)), "", INDEX(SelectedPrecincts[Draw], MATCH(SamplingData[[#This Row],[Batch by Type (p)]],SelectedPrecincts[Batch Name], 0)))</f>
        <v/>
      </c>
      <c r="AJ72" s="101">
        <f>IF(COUNTIF(SelectedPrecincts[Batch Name],SamplingData[[#This Row],[Batch by Type (p)]]) &lt;&gt; 0, COUNTIF(SelectedPrecincts[Batch Name],SamplingData[[#This Row],[Batch by Type (p)]]), 0)</f>
        <v>0</v>
      </c>
    </row>
    <row r="73" spans="1:36" ht="15" customHeight="1" x14ac:dyDescent="0.35">
      <c r="A73" s="98" t="s">
        <v>284</v>
      </c>
      <c r="B73" s="98">
        <v>15</v>
      </c>
      <c r="C73" s="98">
        <v>1</v>
      </c>
      <c r="D73" s="93">
        <v>3</v>
      </c>
      <c r="E73" s="93"/>
      <c r="F73" s="93"/>
      <c r="G73" s="97"/>
      <c r="H73" s="97"/>
      <c r="I73" s="93"/>
      <c r="J73" s="93"/>
      <c r="K73" s="93"/>
      <c r="L73" s="93"/>
      <c r="M73" s="93"/>
      <c r="N73" s="98">
        <v>0</v>
      </c>
      <c r="O73" s="98">
        <v>2</v>
      </c>
      <c r="P73" s="99">
        <f>SUM(SamplingData[[#This Row],[Winning Candidate]:[Under Votes]])</f>
        <v>21</v>
      </c>
      <c r="Q73" s="100">
        <f>IF(AND(SamplingData[[#This Row],[Total]]&lt;&gt; 0, NOT(ISBLANK(SamplingData[[#This Row],[Losing Candidate]]))),(SamplingData[[#This Row],[Total]]+SamplingData[[#This Row],[Winning Candidate]]-SamplingData[[#This Row],[Losing Candidate]])/(SamplingData[[#Totals],[Winning Candidate]]-SamplingData[[#Totals],[Losing Candidate]]), 0)</f>
        <v>2.2122495417483093E-3</v>
      </c>
      <c r="R73" s="100">
        <f>IF(AND(SamplingData[[#This Row],[Total]]&lt;&gt; 0, NOT(ISBLANK(SamplingData[[#This Row],[Candidate 3]]))),(SamplingData[[#This Row],[Total]]+SamplingData[[#This Row],[Winning Candidate]]-SamplingData[[#This Row],[Candidate 3]])/(SamplingData[[#Totals],[Winning Candidate]]-SamplingData[[#Totals],[Candidate 3]]), 0)</f>
        <v>1.8627229622939715E-3</v>
      </c>
      <c r="S73" s="100">
        <f>IF(AND(SamplingData[[#This Row],[Total]]&lt;&gt; 0, NOT(ISBLANK(SamplingData[[#This Row],[Candidate 4]]))),(SamplingData[[#This Row],[Total]]+SamplingData[[#This Row],[Winning Candidate]]-SamplingData[[#This Row],[Candidate 4]])/(SamplingData[[#Totals],[Winning Candidate]]-SamplingData[[#Totals],[Candidate 4]]), 0)</f>
        <v>0</v>
      </c>
      <c r="T73" s="100">
        <f>IF(AND(SamplingData[[#This Row],[Total]]&lt;&gt; 0, NOT(ISBLANK(SamplingData[[#This Row],[Candidate 5]]))),(SamplingData[[#This Row],[Total]]+SamplingData[[#This Row],[Winning Candidate]]-SamplingData[[#This Row],[Candidate 5]])/(SamplingData[[#Totals],[Winning Candidate]]-SamplingData[[#Totals],[Candidate 5]]), 0)</f>
        <v>0</v>
      </c>
      <c r="U73" s="100">
        <f>IF(AND(SamplingData[[#This Row],[Total]]&lt;&gt; 0, NOT(ISBLANK(SamplingData[[#This Row],[Candidate 6]]))),(SamplingData[[#This Row],[Total]]+SamplingData[[#This Row],[Losing Candidate]]-SamplingData[[#This Row],[Candidate 6]])/(SamplingData[[#Totals],[Winning Candidate]]-SamplingData[[#Totals],[Candidate 6]]), 0)</f>
        <v>0</v>
      </c>
      <c r="V73" s="100">
        <f>IF(AND(SamplingData[[#This Row],[Total]]&lt;&gt; 0, NOT(ISBLANK(SamplingData[[#This Row],[Candidate 7]]))),(SamplingData[[#This Row],[Total]]+SamplingData[[#This Row],[Winning Candidate]]-SamplingData[[#This Row],[Candidate 7]])/(SamplingData[[#Totals],[Winning Candidate]]-SamplingData[[#Totals],[Candidate 7]]), 0)</f>
        <v>0</v>
      </c>
      <c r="W73" s="100">
        <f>IF(AND(SamplingData[[#This Row],[Total]]&lt;&gt; 0, NOT(ISBLANK(SamplingData[[#This Row],[Candidate 8]]))),(SamplingData[[#This Row],[Total]]+SamplingData[[#This Row],[Winning Candidate]]-SamplingData[[#This Row],[Candidate 8]])/(SamplingData[[#Totals],[Winning Candidate]]-SamplingData[[#Totals],[Candidate 8]]), 0)</f>
        <v>0</v>
      </c>
      <c r="X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3" s="100">
        <f>MAX(SamplingData[[#This Row],[Error Bound (up) - Max. possible relative overstatement - Losing Candidate]:[Error Bound (up) - Max. possible relative overstatement - Candidate 12]])</f>
        <v>2.2122495417483093E-3</v>
      </c>
      <c r="AC73" s="100">
        <f>IF(SamplingData[[#This Row],[Max Error Bound (up)]] = 0,0,SamplingData[[#This Row],[Max Error Bound (up)]]/SamplingData[[#Totals],[Max Error Bound (up)]])</f>
        <v>8.9785375593645167E-4</v>
      </c>
      <c r="AD73" s="104">
        <f>SUM($AC$5:AC73)</f>
        <v>8.1955348301792796E-2</v>
      </c>
      <c r="AE73" s="100" t="str" cm="1">
        <f t="array" ref="AE73">IF(SamplingData[[#This Row],[up/U Selection Probability]] = 0, "Zero", TEXT(SamplingData[[#This Row],[Lower Range]], REPT("0",LEN('General Info'!$B$42))) &amp; " - " &amp; TEXT(SamplingData[[#This Row],[Upper Range]], REPT("0",LEN('General Info'!$B$42))))</f>
        <v>08106 - 08195</v>
      </c>
      <c r="AF73" s="100">
        <f>SamplingData[[#This Row],[Upper Range]]-SamplingData[[#This Row],[Span]]</f>
        <v>8105.7494545856352</v>
      </c>
      <c r="AG73" s="100">
        <f>IF(ISNUMBER('General Info'!$B$42), ((SamplingData[[#This Row],[up/U Selection Probability]]) * 'General Info'!$B$44) - 1, 0)</f>
        <v>88.785375593645171</v>
      </c>
      <c r="AH73" s="100">
        <f>IF(ISNUMBER('General Info'!$B$42), (SamplingData[[#This Row],[Running (cumulative) sum]] * ('General Info'!$B$42 -'General Info'!$B$43 + 1)) + 'General Info'!$B$43 - 1, 0)</f>
        <v>8194.5348301792801</v>
      </c>
      <c r="AI73" s="100" t="str">
        <f>IF(ISERROR(MATCH(SamplingData[[#This Row],[Batch by Type (p)]],SelectedPrecincts[Batch Name], 0)), "", INDEX(SelectedPrecincts[Draw], MATCH(SamplingData[[#This Row],[Batch by Type (p)]],SelectedPrecincts[Batch Name], 0)))</f>
        <v/>
      </c>
      <c r="AJ73" s="101">
        <f>IF(COUNTIF(SelectedPrecincts[Batch Name],SamplingData[[#This Row],[Batch by Type (p)]]) &lt;&gt; 0, COUNTIF(SelectedPrecincts[Batch Name],SamplingData[[#This Row],[Batch by Type (p)]]), 0)</f>
        <v>0</v>
      </c>
    </row>
    <row r="74" spans="1:36" ht="15" customHeight="1" x14ac:dyDescent="0.35">
      <c r="A74" s="98" t="s">
        <v>285</v>
      </c>
      <c r="B74" s="98">
        <v>11</v>
      </c>
      <c r="C74" s="98">
        <v>0</v>
      </c>
      <c r="D74" s="93">
        <v>0</v>
      </c>
      <c r="E74" s="93"/>
      <c r="F74" s="93"/>
      <c r="G74" s="97"/>
      <c r="H74" s="97"/>
      <c r="I74" s="93"/>
      <c r="J74" s="93"/>
      <c r="K74" s="93"/>
      <c r="L74" s="93"/>
      <c r="M74" s="93"/>
      <c r="N74" s="98">
        <v>0</v>
      </c>
      <c r="O74" s="98">
        <v>1</v>
      </c>
      <c r="P74" s="99">
        <f>SUM(SamplingData[[#This Row],[Winning Candidate]:[Under Votes]])</f>
        <v>12</v>
      </c>
      <c r="Q74" s="100">
        <f>IF(AND(SamplingData[[#This Row],[Total]]&lt;&gt; 0, NOT(ISBLANK(SamplingData[[#This Row],[Losing Candidate]]))),(SamplingData[[#This Row],[Total]]+SamplingData[[#This Row],[Winning Candidate]]-SamplingData[[#This Row],[Losing Candidate]])/(SamplingData[[#Totals],[Winning Candidate]]-SamplingData[[#Totals],[Losing Candidate]]), 0)</f>
        <v>1.4537639845774604E-3</v>
      </c>
      <c r="R74" s="100">
        <f>IF(AND(SamplingData[[#This Row],[Total]]&lt;&gt; 0, NOT(ISBLANK(SamplingData[[#This Row],[Candidate 3]]))),(SamplingData[[#This Row],[Total]]+SamplingData[[#This Row],[Winning Candidate]]-SamplingData[[#This Row],[Candidate 3]])/(SamplingData[[#Totals],[Winning Candidate]]-SamplingData[[#Totals],[Candidate 3]]), 0)</f>
        <v>1.2982614585685256E-3</v>
      </c>
      <c r="S74" s="100">
        <f>IF(AND(SamplingData[[#This Row],[Total]]&lt;&gt; 0, NOT(ISBLANK(SamplingData[[#This Row],[Candidate 4]]))),(SamplingData[[#This Row],[Total]]+SamplingData[[#This Row],[Winning Candidate]]-SamplingData[[#This Row],[Candidate 4]])/(SamplingData[[#Totals],[Winning Candidate]]-SamplingData[[#Totals],[Candidate 4]]), 0)</f>
        <v>0</v>
      </c>
      <c r="T74" s="100">
        <f>IF(AND(SamplingData[[#This Row],[Total]]&lt;&gt; 0, NOT(ISBLANK(SamplingData[[#This Row],[Candidate 5]]))),(SamplingData[[#This Row],[Total]]+SamplingData[[#This Row],[Winning Candidate]]-SamplingData[[#This Row],[Candidate 5]])/(SamplingData[[#Totals],[Winning Candidate]]-SamplingData[[#Totals],[Candidate 5]]), 0)</f>
        <v>0</v>
      </c>
      <c r="U74" s="100">
        <f>IF(AND(SamplingData[[#This Row],[Total]]&lt;&gt; 0, NOT(ISBLANK(SamplingData[[#This Row],[Candidate 6]]))),(SamplingData[[#This Row],[Total]]+SamplingData[[#This Row],[Losing Candidate]]-SamplingData[[#This Row],[Candidate 6]])/(SamplingData[[#Totals],[Winning Candidate]]-SamplingData[[#Totals],[Candidate 6]]), 0)</f>
        <v>0</v>
      </c>
      <c r="V74" s="100">
        <f>IF(AND(SamplingData[[#This Row],[Total]]&lt;&gt; 0, NOT(ISBLANK(SamplingData[[#This Row],[Candidate 7]]))),(SamplingData[[#This Row],[Total]]+SamplingData[[#This Row],[Winning Candidate]]-SamplingData[[#This Row],[Candidate 7]])/(SamplingData[[#Totals],[Winning Candidate]]-SamplingData[[#Totals],[Candidate 7]]), 0)</f>
        <v>0</v>
      </c>
      <c r="W74" s="100">
        <f>IF(AND(SamplingData[[#This Row],[Total]]&lt;&gt; 0, NOT(ISBLANK(SamplingData[[#This Row],[Candidate 8]]))),(SamplingData[[#This Row],[Total]]+SamplingData[[#This Row],[Winning Candidate]]-SamplingData[[#This Row],[Candidate 8]])/(SamplingData[[#Totals],[Winning Candidate]]-SamplingData[[#Totals],[Candidate 8]]), 0)</f>
        <v>0</v>
      </c>
      <c r="X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4" s="100">
        <f>MAX(SamplingData[[#This Row],[Error Bound (up) - Max. possible relative overstatement - Losing Candidate]:[Error Bound (up) - Max. possible relative overstatement - Candidate 12]])</f>
        <v>1.4537639845774604E-3</v>
      </c>
      <c r="AC74" s="100">
        <f>IF(SamplingData[[#This Row],[Max Error Bound (up)]] = 0,0,SamplingData[[#This Row],[Max Error Bound (up)]]/SamplingData[[#Totals],[Max Error Bound (up)]])</f>
        <v>5.9001818247252536E-4</v>
      </c>
      <c r="AD74" s="104">
        <f>SUM($AC$5:AC74)</f>
        <v>8.2545366484265317E-2</v>
      </c>
      <c r="AE74" s="100" t="str" cm="1">
        <f t="array" ref="AE74">IF(SamplingData[[#This Row],[up/U Selection Probability]] = 0, "Zero", TEXT(SamplingData[[#This Row],[Lower Range]], REPT("0",LEN('General Info'!$B$42))) &amp; " - " &amp; TEXT(SamplingData[[#This Row],[Upper Range]], REPT("0",LEN('General Info'!$B$42))))</f>
        <v>08196 - 08254</v>
      </c>
      <c r="AF74" s="100">
        <f>SamplingData[[#This Row],[Upper Range]]-SamplingData[[#This Row],[Span]]</f>
        <v>8195.5348301792801</v>
      </c>
      <c r="AG74" s="100">
        <f>IF(ISNUMBER('General Info'!$B$42), ((SamplingData[[#This Row],[up/U Selection Probability]]) * 'General Info'!$B$44) - 1, 0)</f>
        <v>58.001818247252537</v>
      </c>
      <c r="AH74" s="100">
        <f>IF(ISNUMBER('General Info'!$B$42), (SamplingData[[#This Row],[Running (cumulative) sum]] * ('General Info'!$B$42 -'General Info'!$B$43 + 1)) + 'General Info'!$B$43 - 1, 0)</f>
        <v>8253.5366484265323</v>
      </c>
      <c r="AI74" s="100" t="str">
        <f>IF(ISERROR(MATCH(SamplingData[[#This Row],[Batch by Type (p)]],SelectedPrecincts[Batch Name], 0)), "", INDEX(SelectedPrecincts[Draw], MATCH(SamplingData[[#This Row],[Batch by Type (p)]],SelectedPrecincts[Batch Name], 0)))</f>
        <v/>
      </c>
      <c r="AJ74" s="101">
        <f>IF(COUNTIF(SelectedPrecincts[Batch Name],SamplingData[[#This Row],[Batch by Type (p)]]) &lt;&gt; 0, COUNTIF(SelectedPrecincts[Batch Name],SamplingData[[#This Row],[Batch by Type (p)]]), 0)</f>
        <v>0</v>
      </c>
    </row>
    <row r="75" spans="1:36" ht="15" customHeight="1" x14ac:dyDescent="0.35">
      <c r="A75" s="98" t="s">
        <v>286</v>
      </c>
      <c r="B75" s="98">
        <v>10</v>
      </c>
      <c r="C75" s="98">
        <v>1</v>
      </c>
      <c r="D75" s="93">
        <v>1</v>
      </c>
      <c r="E75" s="93"/>
      <c r="F75" s="93"/>
      <c r="G75" s="97"/>
      <c r="H75" s="97"/>
      <c r="I75" s="93"/>
      <c r="J75" s="93"/>
      <c r="K75" s="93"/>
      <c r="L75" s="93"/>
      <c r="M75" s="93"/>
      <c r="N75" s="98">
        <v>0</v>
      </c>
      <c r="O75" s="98">
        <v>0</v>
      </c>
      <c r="P75" s="99">
        <f>SUM(SamplingData[[#This Row],[Winning Candidate]:[Under Votes]])</f>
        <v>12</v>
      </c>
      <c r="Q75" s="100">
        <f>IF(AND(SamplingData[[#This Row],[Total]]&lt;&gt; 0, NOT(ISBLANK(SamplingData[[#This Row],[Losing Candidate]]))),(SamplingData[[#This Row],[Total]]+SamplingData[[#This Row],[Winning Candidate]]-SamplingData[[#This Row],[Losing Candidate]])/(SamplingData[[#Totals],[Winning Candidate]]-SamplingData[[#Totals],[Losing Candidate]]), 0)</f>
        <v>1.3273497250489855E-3</v>
      </c>
      <c r="R75" s="100">
        <f>IF(AND(SamplingData[[#This Row],[Total]]&lt;&gt; 0, NOT(ISBLANK(SamplingData[[#This Row],[Candidate 3]]))),(SamplingData[[#This Row],[Total]]+SamplingData[[#This Row],[Winning Candidate]]-SamplingData[[#This Row],[Candidate 3]])/(SamplingData[[#Totals],[Winning Candidate]]-SamplingData[[#Totals],[Candidate 3]]), 0)</f>
        <v>1.1853691578234365E-3</v>
      </c>
      <c r="S75" s="100">
        <f>IF(AND(SamplingData[[#This Row],[Total]]&lt;&gt; 0, NOT(ISBLANK(SamplingData[[#This Row],[Candidate 4]]))),(SamplingData[[#This Row],[Total]]+SamplingData[[#This Row],[Winning Candidate]]-SamplingData[[#This Row],[Candidate 4]])/(SamplingData[[#Totals],[Winning Candidate]]-SamplingData[[#Totals],[Candidate 4]]), 0)</f>
        <v>0</v>
      </c>
      <c r="T75" s="100">
        <f>IF(AND(SamplingData[[#This Row],[Total]]&lt;&gt; 0, NOT(ISBLANK(SamplingData[[#This Row],[Candidate 5]]))),(SamplingData[[#This Row],[Total]]+SamplingData[[#This Row],[Winning Candidate]]-SamplingData[[#This Row],[Candidate 5]])/(SamplingData[[#Totals],[Winning Candidate]]-SamplingData[[#Totals],[Candidate 5]]), 0)</f>
        <v>0</v>
      </c>
      <c r="U75" s="100">
        <f>IF(AND(SamplingData[[#This Row],[Total]]&lt;&gt; 0, NOT(ISBLANK(SamplingData[[#This Row],[Candidate 6]]))),(SamplingData[[#This Row],[Total]]+SamplingData[[#This Row],[Losing Candidate]]-SamplingData[[#This Row],[Candidate 6]])/(SamplingData[[#Totals],[Winning Candidate]]-SamplingData[[#Totals],[Candidate 6]]), 0)</f>
        <v>0</v>
      </c>
      <c r="V75" s="100">
        <f>IF(AND(SamplingData[[#This Row],[Total]]&lt;&gt; 0, NOT(ISBLANK(SamplingData[[#This Row],[Candidate 7]]))),(SamplingData[[#This Row],[Total]]+SamplingData[[#This Row],[Winning Candidate]]-SamplingData[[#This Row],[Candidate 7]])/(SamplingData[[#Totals],[Winning Candidate]]-SamplingData[[#Totals],[Candidate 7]]), 0)</f>
        <v>0</v>
      </c>
      <c r="W75" s="100">
        <f>IF(AND(SamplingData[[#This Row],[Total]]&lt;&gt; 0, NOT(ISBLANK(SamplingData[[#This Row],[Candidate 8]]))),(SamplingData[[#This Row],[Total]]+SamplingData[[#This Row],[Winning Candidate]]-SamplingData[[#This Row],[Candidate 8]])/(SamplingData[[#Totals],[Winning Candidate]]-SamplingData[[#Totals],[Candidate 8]]), 0)</f>
        <v>0</v>
      </c>
      <c r="X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5" s="100">
        <f>MAX(SamplingData[[#This Row],[Error Bound (up) - Max. possible relative overstatement - Losing Candidate]:[Error Bound (up) - Max. possible relative overstatement - Candidate 12]])</f>
        <v>1.3273497250489855E-3</v>
      </c>
      <c r="AC75" s="100">
        <f>IF(SamplingData[[#This Row],[Max Error Bound (up)]] = 0,0,SamplingData[[#This Row],[Max Error Bound (up)]]/SamplingData[[#Totals],[Max Error Bound (up)]])</f>
        <v>5.3871225356187094E-4</v>
      </c>
      <c r="AD75" s="104">
        <f>SUM($AC$5:AC75)</f>
        <v>8.3084078737827194E-2</v>
      </c>
      <c r="AE75" s="100" t="str" cm="1">
        <f t="array" ref="AE75">IF(SamplingData[[#This Row],[up/U Selection Probability]] = 0, "Zero", TEXT(SamplingData[[#This Row],[Lower Range]], REPT("0",LEN('General Info'!$B$42))) &amp; " - " &amp; TEXT(SamplingData[[#This Row],[Upper Range]], REPT("0",LEN('General Info'!$B$42))))</f>
        <v>08255 - 08307</v>
      </c>
      <c r="AF75" s="100">
        <f>SamplingData[[#This Row],[Upper Range]]-SamplingData[[#This Row],[Span]]</f>
        <v>8254.5366484265323</v>
      </c>
      <c r="AG75" s="100">
        <f>IF(ISNUMBER('General Info'!$B$42), ((SamplingData[[#This Row],[up/U Selection Probability]]) * 'General Info'!$B$44) - 1, 0)</f>
        <v>52.871225356187097</v>
      </c>
      <c r="AH75" s="100">
        <f>IF(ISNUMBER('General Info'!$B$42), (SamplingData[[#This Row],[Running (cumulative) sum]] * ('General Info'!$B$42 -'General Info'!$B$43 + 1)) + 'General Info'!$B$43 - 1, 0)</f>
        <v>8307.4078737827185</v>
      </c>
      <c r="AI75" s="100" t="str">
        <f>IF(ISERROR(MATCH(SamplingData[[#This Row],[Batch by Type (p)]],SelectedPrecincts[Batch Name], 0)), "", INDEX(SelectedPrecincts[Draw], MATCH(SamplingData[[#This Row],[Batch by Type (p)]],SelectedPrecincts[Batch Name], 0)))</f>
        <v/>
      </c>
      <c r="AJ75" s="101">
        <f>IF(COUNTIF(SelectedPrecincts[Batch Name],SamplingData[[#This Row],[Batch by Type (p)]]) &lt;&gt; 0, COUNTIF(SelectedPrecincts[Batch Name],SamplingData[[#This Row],[Batch by Type (p)]]), 0)</f>
        <v>0</v>
      </c>
    </row>
    <row r="76" spans="1:36" ht="15" customHeight="1" x14ac:dyDescent="0.35">
      <c r="A76" s="98" t="s">
        <v>287</v>
      </c>
      <c r="B76" s="98">
        <v>8</v>
      </c>
      <c r="C76" s="98">
        <v>0</v>
      </c>
      <c r="D76" s="93">
        <v>0</v>
      </c>
      <c r="E76" s="93"/>
      <c r="F76" s="93"/>
      <c r="G76" s="97"/>
      <c r="H76" s="97"/>
      <c r="I76" s="93"/>
      <c r="J76" s="93"/>
      <c r="K76" s="93"/>
      <c r="L76" s="93"/>
      <c r="M76" s="93"/>
      <c r="N76" s="98">
        <v>0</v>
      </c>
      <c r="O76" s="98">
        <v>0</v>
      </c>
      <c r="P76" s="99">
        <f>SUM(SamplingData[[#This Row],[Winning Candidate]:[Under Votes]])</f>
        <v>8</v>
      </c>
      <c r="Q76"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76" s="100">
        <f>IF(AND(SamplingData[[#This Row],[Total]]&lt;&gt; 0, NOT(ISBLANK(SamplingData[[#This Row],[Candidate 3]]))),(SamplingData[[#This Row],[Total]]+SamplingData[[#This Row],[Winning Candidate]]-SamplingData[[#This Row],[Candidate 3]])/(SamplingData[[#Totals],[Winning Candidate]]-SamplingData[[#Totals],[Candidate 3]]), 0)</f>
        <v>9.0313840596071345E-4</v>
      </c>
      <c r="S76" s="100">
        <f>IF(AND(SamplingData[[#This Row],[Total]]&lt;&gt; 0, NOT(ISBLANK(SamplingData[[#This Row],[Candidate 4]]))),(SamplingData[[#This Row],[Total]]+SamplingData[[#This Row],[Winning Candidate]]-SamplingData[[#This Row],[Candidate 4]])/(SamplingData[[#Totals],[Winning Candidate]]-SamplingData[[#Totals],[Candidate 4]]), 0)</f>
        <v>0</v>
      </c>
      <c r="T76" s="100">
        <f>IF(AND(SamplingData[[#This Row],[Total]]&lt;&gt; 0, NOT(ISBLANK(SamplingData[[#This Row],[Candidate 5]]))),(SamplingData[[#This Row],[Total]]+SamplingData[[#This Row],[Winning Candidate]]-SamplingData[[#This Row],[Candidate 5]])/(SamplingData[[#Totals],[Winning Candidate]]-SamplingData[[#Totals],[Candidate 5]]), 0)</f>
        <v>0</v>
      </c>
      <c r="U76" s="100">
        <f>IF(AND(SamplingData[[#This Row],[Total]]&lt;&gt; 0, NOT(ISBLANK(SamplingData[[#This Row],[Candidate 6]]))),(SamplingData[[#This Row],[Total]]+SamplingData[[#This Row],[Losing Candidate]]-SamplingData[[#This Row],[Candidate 6]])/(SamplingData[[#Totals],[Winning Candidate]]-SamplingData[[#Totals],[Candidate 6]]), 0)</f>
        <v>0</v>
      </c>
      <c r="V76" s="100">
        <f>IF(AND(SamplingData[[#This Row],[Total]]&lt;&gt; 0, NOT(ISBLANK(SamplingData[[#This Row],[Candidate 7]]))),(SamplingData[[#This Row],[Total]]+SamplingData[[#This Row],[Winning Candidate]]-SamplingData[[#This Row],[Candidate 7]])/(SamplingData[[#Totals],[Winning Candidate]]-SamplingData[[#Totals],[Candidate 7]]), 0)</f>
        <v>0</v>
      </c>
      <c r="W76" s="100">
        <f>IF(AND(SamplingData[[#This Row],[Total]]&lt;&gt; 0, NOT(ISBLANK(SamplingData[[#This Row],[Candidate 8]]))),(SamplingData[[#This Row],[Total]]+SamplingData[[#This Row],[Winning Candidate]]-SamplingData[[#This Row],[Candidate 8]])/(SamplingData[[#Totals],[Winning Candidate]]-SamplingData[[#Totals],[Candidate 8]]), 0)</f>
        <v>0</v>
      </c>
      <c r="X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6" s="100">
        <f>MAX(SamplingData[[#This Row],[Error Bound (up) - Max. possible relative overstatement - Losing Candidate]:[Error Bound (up) - Max. possible relative overstatement - Candidate 12]])</f>
        <v>1.0113140762277985E-3</v>
      </c>
      <c r="AC76" s="100">
        <f>IF(SamplingData[[#This Row],[Max Error Bound (up)]] = 0,0,SamplingData[[#This Row],[Max Error Bound (up)]]/SamplingData[[#Totals],[Max Error Bound (up)]])</f>
        <v>4.1044743128523505E-4</v>
      </c>
      <c r="AD76" s="104">
        <f>SUM($AC$5:AC76)</f>
        <v>8.3494526169112432E-2</v>
      </c>
      <c r="AE76" s="100" t="str" cm="1">
        <f t="array" ref="AE76">IF(SamplingData[[#This Row],[up/U Selection Probability]] = 0, "Zero", TEXT(SamplingData[[#This Row],[Lower Range]], REPT("0",LEN('General Info'!$B$42))) &amp; " - " &amp; TEXT(SamplingData[[#This Row],[Upper Range]], REPT("0",LEN('General Info'!$B$42))))</f>
        <v>08308 - 08348</v>
      </c>
      <c r="AF76" s="100">
        <f>SamplingData[[#This Row],[Upper Range]]-SamplingData[[#This Row],[Span]]</f>
        <v>8308.4078737827203</v>
      </c>
      <c r="AG76" s="100">
        <f>IF(ISNUMBER('General Info'!$B$42), ((SamplingData[[#This Row],[up/U Selection Probability]]) * 'General Info'!$B$44) - 1, 0)</f>
        <v>40.044743128523507</v>
      </c>
      <c r="AH76" s="100">
        <f>IF(ISNUMBER('General Info'!$B$42), (SamplingData[[#This Row],[Running (cumulative) sum]] * ('General Info'!$B$42 -'General Info'!$B$43 + 1)) + 'General Info'!$B$43 - 1, 0)</f>
        <v>8348.4526169112432</v>
      </c>
      <c r="AI76" s="100" t="str">
        <f>IF(ISERROR(MATCH(SamplingData[[#This Row],[Batch by Type (p)]],SelectedPrecincts[Batch Name], 0)), "", INDEX(SelectedPrecincts[Draw], MATCH(SamplingData[[#This Row],[Batch by Type (p)]],SelectedPrecincts[Batch Name], 0)))</f>
        <v/>
      </c>
      <c r="AJ76" s="101">
        <f>IF(COUNTIF(SelectedPrecincts[Batch Name],SamplingData[[#This Row],[Batch by Type (p)]]) &lt;&gt; 0, COUNTIF(SelectedPrecincts[Batch Name],SamplingData[[#This Row],[Batch by Type (p)]]), 0)</f>
        <v>0</v>
      </c>
    </row>
    <row r="77" spans="1:36" ht="15" customHeight="1" x14ac:dyDescent="0.35">
      <c r="A77" s="98" t="s">
        <v>288</v>
      </c>
      <c r="B77" s="98">
        <v>18</v>
      </c>
      <c r="C77" s="98">
        <v>0</v>
      </c>
      <c r="D77" s="93">
        <v>1</v>
      </c>
      <c r="E77" s="93"/>
      <c r="F77" s="93"/>
      <c r="G77" s="97"/>
      <c r="H77" s="97"/>
      <c r="I77" s="93"/>
      <c r="J77" s="93"/>
      <c r="K77" s="93"/>
      <c r="L77" s="93"/>
      <c r="M77" s="93"/>
      <c r="N77" s="98">
        <v>0</v>
      </c>
      <c r="O77" s="98">
        <v>0</v>
      </c>
      <c r="P77" s="99">
        <f>SUM(SamplingData[[#This Row],[Winning Candidate]:[Under Votes]])</f>
        <v>19</v>
      </c>
      <c r="Q77" s="100">
        <f>IF(AND(SamplingData[[#This Row],[Total]]&lt;&gt; 0, NOT(ISBLANK(SamplingData[[#This Row],[Losing Candidate]]))),(SamplingData[[#This Row],[Total]]+SamplingData[[#This Row],[Winning Candidate]]-SamplingData[[#This Row],[Losing Candidate]])/(SamplingData[[#Totals],[Winning Candidate]]-SamplingData[[#Totals],[Losing Candidate]]), 0)</f>
        <v>2.338663801276784E-3</v>
      </c>
      <c r="R77" s="100">
        <f>IF(AND(SamplingData[[#This Row],[Total]]&lt;&gt; 0, NOT(ISBLANK(SamplingData[[#This Row],[Candidate 3]]))),(SamplingData[[#This Row],[Total]]+SamplingData[[#This Row],[Winning Candidate]]-SamplingData[[#This Row],[Candidate 3]])/(SamplingData[[#Totals],[Winning Candidate]]-SamplingData[[#Totals],[Candidate 3]]), 0)</f>
        <v>2.0320614134116052E-3</v>
      </c>
      <c r="S77" s="100">
        <f>IF(AND(SamplingData[[#This Row],[Total]]&lt;&gt; 0, NOT(ISBLANK(SamplingData[[#This Row],[Candidate 4]]))),(SamplingData[[#This Row],[Total]]+SamplingData[[#This Row],[Winning Candidate]]-SamplingData[[#This Row],[Candidate 4]])/(SamplingData[[#Totals],[Winning Candidate]]-SamplingData[[#Totals],[Candidate 4]]), 0)</f>
        <v>0</v>
      </c>
      <c r="T77" s="100">
        <f>IF(AND(SamplingData[[#This Row],[Total]]&lt;&gt; 0, NOT(ISBLANK(SamplingData[[#This Row],[Candidate 5]]))),(SamplingData[[#This Row],[Total]]+SamplingData[[#This Row],[Winning Candidate]]-SamplingData[[#This Row],[Candidate 5]])/(SamplingData[[#Totals],[Winning Candidate]]-SamplingData[[#Totals],[Candidate 5]]), 0)</f>
        <v>0</v>
      </c>
      <c r="U77" s="100">
        <f>IF(AND(SamplingData[[#This Row],[Total]]&lt;&gt; 0, NOT(ISBLANK(SamplingData[[#This Row],[Candidate 6]]))),(SamplingData[[#This Row],[Total]]+SamplingData[[#This Row],[Losing Candidate]]-SamplingData[[#This Row],[Candidate 6]])/(SamplingData[[#Totals],[Winning Candidate]]-SamplingData[[#Totals],[Candidate 6]]), 0)</f>
        <v>0</v>
      </c>
      <c r="V77" s="100">
        <f>IF(AND(SamplingData[[#This Row],[Total]]&lt;&gt; 0, NOT(ISBLANK(SamplingData[[#This Row],[Candidate 7]]))),(SamplingData[[#This Row],[Total]]+SamplingData[[#This Row],[Winning Candidate]]-SamplingData[[#This Row],[Candidate 7]])/(SamplingData[[#Totals],[Winning Candidate]]-SamplingData[[#Totals],[Candidate 7]]), 0)</f>
        <v>0</v>
      </c>
      <c r="W77" s="100">
        <f>IF(AND(SamplingData[[#This Row],[Total]]&lt;&gt; 0, NOT(ISBLANK(SamplingData[[#This Row],[Candidate 8]]))),(SamplingData[[#This Row],[Total]]+SamplingData[[#This Row],[Winning Candidate]]-SamplingData[[#This Row],[Candidate 8]])/(SamplingData[[#Totals],[Winning Candidate]]-SamplingData[[#Totals],[Candidate 8]]), 0)</f>
        <v>0</v>
      </c>
      <c r="X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7" s="100">
        <f>MAX(SamplingData[[#This Row],[Error Bound (up) - Max. possible relative overstatement - Losing Candidate]:[Error Bound (up) - Max. possible relative overstatement - Candidate 12]])</f>
        <v>2.338663801276784E-3</v>
      </c>
      <c r="AC77" s="100">
        <f>IF(SamplingData[[#This Row],[Max Error Bound (up)]] = 0,0,SamplingData[[#This Row],[Max Error Bound (up)]]/SamplingData[[#Totals],[Max Error Bound (up)]])</f>
        <v>9.4915968484710598E-4</v>
      </c>
      <c r="AD77" s="104">
        <f>SUM($AC$5:AC77)</f>
        <v>8.4443685853959533E-2</v>
      </c>
      <c r="AE77" s="100" t="str" cm="1">
        <f t="array" ref="AE77">IF(SamplingData[[#This Row],[up/U Selection Probability]] = 0, "Zero", TEXT(SamplingData[[#This Row],[Lower Range]], REPT("0",LEN('General Info'!$B$42))) &amp; " - " &amp; TEXT(SamplingData[[#This Row],[Upper Range]], REPT("0",LEN('General Info'!$B$42))))</f>
        <v>08349 - 08443</v>
      </c>
      <c r="AF77" s="100">
        <f>SamplingData[[#This Row],[Upper Range]]-SamplingData[[#This Row],[Span]]</f>
        <v>8349.4526169112432</v>
      </c>
      <c r="AG77" s="100">
        <f>IF(ISNUMBER('General Info'!$B$42), ((SamplingData[[#This Row],[up/U Selection Probability]]) * 'General Info'!$B$44) - 1, 0)</f>
        <v>93.915968484710604</v>
      </c>
      <c r="AH77" s="100">
        <f>IF(ISNUMBER('General Info'!$B$42), (SamplingData[[#This Row],[Running (cumulative) sum]] * ('General Info'!$B$42 -'General Info'!$B$43 + 1)) + 'General Info'!$B$43 - 1, 0)</f>
        <v>8443.3685853959541</v>
      </c>
      <c r="AI77" s="100" t="str">
        <f>IF(ISERROR(MATCH(SamplingData[[#This Row],[Batch by Type (p)]],SelectedPrecincts[Batch Name], 0)), "", INDEX(SelectedPrecincts[Draw], MATCH(SamplingData[[#This Row],[Batch by Type (p)]],SelectedPrecincts[Batch Name], 0)))</f>
        <v/>
      </c>
      <c r="AJ77" s="101">
        <f>IF(COUNTIF(SelectedPrecincts[Batch Name],SamplingData[[#This Row],[Batch by Type (p)]]) &lt;&gt; 0, COUNTIF(SelectedPrecincts[Batch Name],SamplingData[[#This Row],[Batch by Type (p)]]), 0)</f>
        <v>0</v>
      </c>
    </row>
    <row r="78" spans="1:36" ht="15" customHeight="1" x14ac:dyDescent="0.35">
      <c r="A78" s="98" t="s">
        <v>289</v>
      </c>
      <c r="B78" s="98">
        <v>9</v>
      </c>
      <c r="C78" s="98">
        <v>1</v>
      </c>
      <c r="D78" s="93">
        <v>1</v>
      </c>
      <c r="E78" s="93"/>
      <c r="F78" s="93"/>
      <c r="G78" s="97"/>
      <c r="H78" s="97"/>
      <c r="I78" s="93"/>
      <c r="J78" s="93"/>
      <c r="K78" s="93"/>
      <c r="L78" s="93"/>
      <c r="M78" s="93"/>
      <c r="N78" s="98">
        <v>0</v>
      </c>
      <c r="O78" s="98">
        <v>0</v>
      </c>
      <c r="P78" s="99">
        <f>SUM(SamplingData[[#This Row],[Winning Candidate]:[Under Votes]])</f>
        <v>11</v>
      </c>
      <c r="Q78" s="100">
        <f>IF(AND(SamplingData[[#This Row],[Total]]&lt;&gt; 0, NOT(ISBLANK(SamplingData[[#This Row],[Losing Candidate]]))),(SamplingData[[#This Row],[Total]]+SamplingData[[#This Row],[Winning Candidate]]-SamplingData[[#This Row],[Losing Candidate]])/(SamplingData[[#Totals],[Winning Candidate]]-SamplingData[[#Totals],[Losing Candidate]]), 0)</f>
        <v>1.2009354655205108E-3</v>
      </c>
      <c r="R78" s="100">
        <f>IF(AND(SamplingData[[#This Row],[Total]]&lt;&gt; 0, NOT(ISBLANK(SamplingData[[#This Row],[Candidate 3]]))),(SamplingData[[#This Row],[Total]]+SamplingData[[#This Row],[Winning Candidate]]-SamplingData[[#This Row],[Candidate 3]])/(SamplingData[[#Totals],[Winning Candidate]]-SamplingData[[#Totals],[Candidate 3]]), 0)</f>
        <v>1.0724768570783473E-3</v>
      </c>
      <c r="S78" s="100">
        <f>IF(AND(SamplingData[[#This Row],[Total]]&lt;&gt; 0, NOT(ISBLANK(SamplingData[[#This Row],[Candidate 4]]))),(SamplingData[[#This Row],[Total]]+SamplingData[[#This Row],[Winning Candidate]]-SamplingData[[#This Row],[Candidate 4]])/(SamplingData[[#Totals],[Winning Candidate]]-SamplingData[[#Totals],[Candidate 4]]), 0)</f>
        <v>0</v>
      </c>
      <c r="T78" s="100">
        <f>IF(AND(SamplingData[[#This Row],[Total]]&lt;&gt; 0, NOT(ISBLANK(SamplingData[[#This Row],[Candidate 5]]))),(SamplingData[[#This Row],[Total]]+SamplingData[[#This Row],[Winning Candidate]]-SamplingData[[#This Row],[Candidate 5]])/(SamplingData[[#Totals],[Winning Candidate]]-SamplingData[[#Totals],[Candidate 5]]), 0)</f>
        <v>0</v>
      </c>
      <c r="U78" s="100">
        <f>IF(AND(SamplingData[[#This Row],[Total]]&lt;&gt; 0, NOT(ISBLANK(SamplingData[[#This Row],[Candidate 6]]))),(SamplingData[[#This Row],[Total]]+SamplingData[[#This Row],[Losing Candidate]]-SamplingData[[#This Row],[Candidate 6]])/(SamplingData[[#Totals],[Winning Candidate]]-SamplingData[[#Totals],[Candidate 6]]), 0)</f>
        <v>0</v>
      </c>
      <c r="V78" s="100">
        <f>IF(AND(SamplingData[[#This Row],[Total]]&lt;&gt; 0, NOT(ISBLANK(SamplingData[[#This Row],[Candidate 7]]))),(SamplingData[[#This Row],[Total]]+SamplingData[[#This Row],[Winning Candidate]]-SamplingData[[#This Row],[Candidate 7]])/(SamplingData[[#Totals],[Winning Candidate]]-SamplingData[[#Totals],[Candidate 7]]), 0)</f>
        <v>0</v>
      </c>
      <c r="W78" s="100">
        <f>IF(AND(SamplingData[[#This Row],[Total]]&lt;&gt; 0, NOT(ISBLANK(SamplingData[[#This Row],[Candidate 8]]))),(SamplingData[[#This Row],[Total]]+SamplingData[[#This Row],[Winning Candidate]]-SamplingData[[#This Row],[Candidate 8]])/(SamplingData[[#Totals],[Winning Candidate]]-SamplingData[[#Totals],[Candidate 8]]), 0)</f>
        <v>0</v>
      </c>
      <c r="X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8" s="100">
        <f>MAX(SamplingData[[#This Row],[Error Bound (up) - Max. possible relative overstatement - Losing Candidate]:[Error Bound (up) - Max. possible relative overstatement - Candidate 12]])</f>
        <v>1.2009354655205108E-3</v>
      </c>
      <c r="AC78" s="100">
        <f>IF(SamplingData[[#This Row],[Max Error Bound (up)]] = 0,0,SamplingData[[#This Row],[Max Error Bound (up)]]/SamplingData[[#Totals],[Max Error Bound (up)]])</f>
        <v>4.8740632465121662E-4</v>
      </c>
      <c r="AD78" s="104">
        <f>SUM($AC$5:AC78)</f>
        <v>8.4931092178610751E-2</v>
      </c>
      <c r="AE78" s="100" t="str" cm="1">
        <f t="array" ref="AE78">IF(SamplingData[[#This Row],[up/U Selection Probability]] = 0, "Zero", TEXT(SamplingData[[#This Row],[Lower Range]], REPT("0",LEN('General Info'!$B$42))) &amp; " - " &amp; TEXT(SamplingData[[#This Row],[Upper Range]], REPT("0",LEN('General Info'!$B$42))))</f>
        <v>08444 - 08492</v>
      </c>
      <c r="AF78" s="100">
        <f>SamplingData[[#This Row],[Upper Range]]-SamplingData[[#This Row],[Span]]</f>
        <v>8444.3685853959523</v>
      </c>
      <c r="AG78" s="100">
        <f>IF(ISNUMBER('General Info'!$B$42), ((SamplingData[[#This Row],[up/U Selection Probability]]) * 'General Info'!$B$44) - 1, 0)</f>
        <v>47.740632465121664</v>
      </c>
      <c r="AH78" s="100">
        <f>IF(ISNUMBER('General Info'!$B$42), (SamplingData[[#This Row],[Running (cumulative) sum]] * ('General Info'!$B$42 -'General Info'!$B$43 + 1)) + 'General Info'!$B$43 - 1, 0)</f>
        <v>8492.1092178610743</v>
      </c>
      <c r="AI78" s="100">
        <f>IF(ISERROR(MATCH(SamplingData[[#This Row],[Batch by Type (p)]],SelectedPrecincts[Batch Name], 0)), "", INDEX(SelectedPrecincts[Draw], MATCH(SamplingData[[#This Row],[Batch by Type (p)]],SelectedPrecincts[Batch Name], 0)))</f>
        <v>3</v>
      </c>
      <c r="AJ78" s="101">
        <f>IF(COUNTIF(SelectedPrecincts[Batch Name],SamplingData[[#This Row],[Batch by Type (p)]]) &lt;&gt; 0, COUNTIF(SelectedPrecincts[Batch Name],SamplingData[[#This Row],[Batch by Type (p)]]), 0)</f>
        <v>1</v>
      </c>
    </row>
    <row r="79" spans="1:36" ht="15" customHeight="1" x14ac:dyDescent="0.35">
      <c r="A79" s="98" t="s">
        <v>290</v>
      </c>
      <c r="B79" s="98">
        <v>8</v>
      </c>
      <c r="C79" s="98">
        <v>0</v>
      </c>
      <c r="D79" s="93">
        <v>0</v>
      </c>
      <c r="E79" s="93"/>
      <c r="F79" s="93"/>
      <c r="G79" s="97"/>
      <c r="H79" s="97"/>
      <c r="I79" s="93"/>
      <c r="J79" s="93"/>
      <c r="K79" s="93"/>
      <c r="L79" s="93"/>
      <c r="M79" s="93"/>
      <c r="N79" s="98">
        <v>0</v>
      </c>
      <c r="O79" s="98">
        <v>0</v>
      </c>
      <c r="P79" s="99">
        <f>SUM(SamplingData[[#This Row],[Winning Candidate]:[Under Votes]])</f>
        <v>8</v>
      </c>
      <c r="Q79"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79" s="100">
        <f>IF(AND(SamplingData[[#This Row],[Total]]&lt;&gt; 0, NOT(ISBLANK(SamplingData[[#This Row],[Candidate 3]]))),(SamplingData[[#This Row],[Total]]+SamplingData[[#This Row],[Winning Candidate]]-SamplingData[[#This Row],[Candidate 3]])/(SamplingData[[#Totals],[Winning Candidate]]-SamplingData[[#Totals],[Candidate 3]]), 0)</f>
        <v>9.0313840596071345E-4</v>
      </c>
      <c r="S79" s="100">
        <f>IF(AND(SamplingData[[#This Row],[Total]]&lt;&gt; 0, NOT(ISBLANK(SamplingData[[#This Row],[Candidate 4]]))),(SamplingData[[#This Row],[Total]]+SamplingData[[#This Row],[Winning Candidate]]-SamplingData[[#This Row],[Candidate 4]])/(SamplingData[[#Totals],[Winning Candidate]]-SamplingData[[#Totals],[Candidate 4]]), 0)</f>
        <v>0</v>
      </c>
      <c r="T79" s="100">
        <f>IF(AND(SamplingData[[#This Row],[Total]]&lt;&gt; 0, NOT(ISBLANK(SamplingData[[#This Row],[Candidate 5]]))),(SamplingData[[#This Row],[Total]]+SamplingData[[#This Row],[Winning Candidate]]-SamplingData[[#This Row],[Candidate 5]])/(SamplingData[[#Totals],[Winning Candidate]]-SamplingData[[#Totals],[Candidate 5]]), 0)</f>
        <v>0</v>
      </c>
      <c r="U79" s="100">
        <f>IF(AND(SamplingData[[#This Row],[Total]]&lt;&gt; 0, NOT(ISBLANK(SamplingData[[#This Row],[Candidate 6]]))),(SamplingData[[#This Row],[Total]]+SamplingData[[#This Row],[Losing Candidate]]-SamplingData[[#This Row],[Candidate 6]])/(SamplingData[[#Totals],[Winning Candidate]]-SamplingData[[#Totals],[Candidate 6]]), 0)</f>
        <v>0</v>
      </c>
      <c r="V79" s="100">
        <f>IF(AND(SamplingData[[#This Row],[Total]]&lt;&gt; 0, NOT(ISBLANK(SamplingData[[#This Row],[Candidate 7]]))),(SamplingData[[#This Row],[Total]]+SamplingData[[#This Row],[Winning Candidate]]-SamplingData[[#This Row],[Candidate 7]])/(SamplingData[[#Totals],[Winning Candidate]]-SamplingData[[#Totals],[Candidate 7]]), 0)</f>
        <v>0</v>
      </c>
      <c r="W79" s="100">
        <f>IF(AND(SamplingData[[#This Row],[Total]]&lt;&gt; 0, NOT(ISBLANK(SamplingData[[#This Row],[Candidate 8]]))),(SamplingData[[#This Row],[Total]]+SamplingData[[#This Row],[Winning Candidate]]-SamplingData[[#This Row],[Candidate 8]])/(SamplingData[[#Totals],[Winning Candidate]]-SamplingData[[#Totals],[Candidate 8]]), 0)</f>
        <v>0</v>
      </c>
      <c r="X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9" s="100">
        <f>MAX(SamplingData[[#This Row],[Error Bound (up) - Max. possible relative overstatement - Losing Candidate]:[Error Bound (up) - Max. possible relative overstatement - Candidate 12]])</f>
        <v>1.0113140762277985E-3</v>
      </c>
      <c r="AC79" s="100">
        <f>IF(SamplingData[[#This Row],[Max Error Bound (up)]] = 0,0,SamplingData[[#This Row],[Max Error Bound (up)]]/SamplingData[[#Totals],[Max Error Bound (up)]])</f>
        <v>4.1044743128523505E-4</v>
      </c>
      <c r="AD79" s="104">
        <f>SUM($AC$5:AC79)</f>
        <v>8.5341539609895989E-2</v>
      </c>
      <c r="AE79" s="100" t="str" cm="1">
        <f t="array" ref="AE79">IF(SamplingData[[#This Row],[up/U Selection Probability]] = 0, "Zero", TEXT(SamplingData[[#This Row],[Lower Range]], REPT("0",LEN('General Info'!$B$42))) &amp; " - " &amp; TEXT(SamplingData[[#This Row],[Upper Range]], REPT("0",LEN('General Info'!$B$42))))</f>
        <v>08493 - 08533</v>
      </c>
      <c r="AF79" s="100">
        <f>SamplingData[[#This Row],[Upper Range]]-SamplingData[[#This Row],[Span]]</f>
        <v>8493.1092178610761</v>
      </c>
      <c r="AG79" s="100">
        <f>IF(ISNUMBER('General Info'!$B$42), ((SamplingData[[#This Row],[up/U Selection Probability]]) * 'General Info'!$B$44) - 1, 0)</f>
        <v>40.044743128523507</v>
      </c>
      <c r="AH79" s="100">
        <f>IF(ISNUMBER('General Info'!$B$42), (SamplingData[[#This Row],[Running (cumulative) sum]] * ('General Info'!$B$42 -'General Info'!$B$43 + 1)) + 'General Info'!$B$43 - 1, 0)</f>
        <v>8533.153960989599</v>
      </c>
      <c r="AI79" s="100" t="str">
        <f>IF(ISERROR(MATCH(SamplingData[[#This Row],[Batch by Type (p)]],SelectedPrecincts[Batch Name], 0)), "", INDEX(SelectedPrecincts[Draw], MATCH(SamplingData[[#This Row],[Batch by Type (p)]],SelectedPrecincts[Batch Name], 0)))</f>
        <v/>
      </c>
      <c r="AJ79" s="101">
        <f>IF(COUNTIF(SelectedPrecincts[Batch Name],SamplingData[[#This Row],[Batch by Type (p)]]) &lt;&gt; 0, COUNTIF(SelectedPrecincts[Batch Name],SamplingData[[#This Row],[Batch by Type (p)]]), 0)</f>
        <v>0</v>
      </c>
    </row>
    <row r="80" spans="1:36" ht="15" customHeight="1" x14ac:dyDescent="0.35">
      <c r="A80" s="98" t="s">
        <v>291</v>
      </c>
      <c r="B80" s="98">
        <v>1</v>
      </c>
      <c r="C80" s="98">
        <v>2</v>
      </c>
      <c r="D80" s="93">
        <v>0</v>
      </c>
      <c r="E80" s="93"/>
      <c r="F80" s="93"/>
      <c r="G80" s="97"/>
      <c r="H80" s="97"/>
      <c r="I80" s="93"/>
      <c r="J80" s="93"/>
      <c r="K80" s="93"/>
      <c r="L80" s="93"/>
      <c r="M80" s="93"/>
      <c r="N80" s="98">
        <v>0</v>
      </c>
      <c r="O80" s="98">
        <v>0</v>
      </c>
      <c r="P80" s="99">
        <f>SUM(SamplingData[[#This Row],[Winning Candidate]:[Under Votes]])</f>
        <v>3</v>
      </c>
      <c r="Q80"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80" s="100">
        <f>IF(AND(SamplingData[[#This Row],[Total]]&lt;&gt; 0, NOT(ISBLANK(SamplingData[[#This Row],[Candidate 3]]))),(SamplingData[[#This Row],[Total]]+SamplingData[[#This Row],[Winning Candidate]]-SamplingData[[#This Row],[Candidate 3]])/(SamplingData[[#Totals],[Winning Candidate]]-SamplingData[[#Totals],[Candidate 3]]), 0)</f>
        <v>2.2578460149017836E-4</v>
      </c>
      <c r="S80" s="100">
        <f>IF(AND(SamplingData[[#This Row],[Total]]&lt;&gt; 0, NOT(ISBLANK(SamplingData[[#This Row],[Candidate 4]]))),(SamplingData[[#This Row],[Total]]+SamplingData[[#This Row],[Winning Candidate]]-SamplingData[[#This Row],[Candidate 4]])/(SamplingData[[#Totals],[Winning Candidate]]-SamplingData[[#Totals],[Candidate 4]]), 0)</f>
        <v>0</v>
      </c>
      <c r="T80" s="100">
        <f>IF(AND(SamplingData[[#This Row],[Total]]&lt;&gt; 0, NOT(ISBLANK(SamplingData[[#This Row],[Candidate 5]]))),(SamplingData[[#This Row],[Total]]+SamplingData[[#This Row],[Winning Candidate]]-SamplingData[[#This Row],[Candidate 5]])/(SamplingData[[#Totals],[Winning Candidate]]-SamplingData[[#Totals],[Candidate 5]]), 0)</f>
        <v>0</v>
      </c>
      <c r="U80" s="100">
        <f>IF(AND(SamplingData[[#This Row],[Total]]&lt;&gt; 0, NOT(ISBLANK(SamplingData[[#This Row],[Candidate 6]]))),(SamplingData[[#This Row],[Total]]+SamplingData[[#This Row],[Losing Candidate]]-SamplingData[[#This Row],[Candidate 6]])/(SamplingData[[#Totals],[Winning Candidate]]-SamplingData[[#Totals],[Candidate 6]]), 0)</f>
        <v>0</v>
      </c>
      <c r="V80" s="100">
        <f>IF(AND(SamplingData[[#This Row],[Total]]&lt;&gt; 0, NOT(ISBLANK(SamplingData[[#This Row],[Candidate 7]]))),(SamplingData[[#This Row],[Total]]+SamplingData[[#This Row],[Winning Candidate]]-SamplingData[[#This Row],[Candidate 7]])/(SamplingData[[#Totals],[Winning Candidate]]-SamplingData[[#Totals],[Candidate 7]]), 0)</f>
        <v>0</v>
      </c>
      <c r="W80" s="100">
        <f>IF(AND(SamplingData[[#This Row],[Total]]&lt;&gt; 0, NOT(ISBLANK(SamplingData[[#This Row],[Candidate 8]]))),(SamplingData[[#This Row],[Total]]+SamplingData[[#This Row],[Winning Candidate]]-SamplingData[[#This Row],[Candidate 8]])/(SamplingData[[#Totals],[Winning Candidate]]-SamplingData[[#Totals],[Candidate 8]]), 0)</f>
        <v>0</v>
      </c>
      <c r="X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0" s="100">
        <f>MAX(SamplingData[[#This Row],[Error Bound (up) - Max. possible relative overstatement - Losing Candidate]:[Error Bound (up) - Max. possible relative overstatement - Candidate 12]])</f>
        <v>2.2578460149017836E-4</v>
      </c>
      <c r="AC80" s="100">
        <f>IF(SamplingData[[#This Row],[Max Error Bound (up)]] = 0,0,SamplingData[[#This Row],[Max Error Bound (up)]]/SamplingData[[#Totals],[Max Error Bound (up)]])</f>
        <v>9.1635933765574952E-5</v>
      </c>
      <c r="AD80" s="104">
        <f>SUM($AC$5:AC80)</f>
        <v>8.543317554366156E-2</v>
      </c>
      <c r="AE80" s="100" t="str" cm="1">
        <f t="array" ref="AE80">IF(SamplingData[[#This Row],[up/U Selection Probability]] = 0, "Zero", TEXT(SamplingData[[#This Row],[Lower Range]], REPT("0",LEN('General Info'!$B$42))) &amp; " - " &amp; TEXT(SamplingData[[#This Row],[Upper Range]], REPT("0",LEN('General Info'!$B$42))))</f>
        <v>08534 - 08542</v>
      </c>
      <c r="AF80" s="100">
        <f>SamplingData[[#This Row],[Upper Range]]-SamplingData[[#This Row],[Span]]</f>
        <v>8534.153960989599</v>
      </c>
      <c r="AG80" s="100">
        <f>IF(ISNUMBER('General Info'!$B$42), ((SamplingData[[#This Row],[up/U Selection Probability]]) * 'General Info'!$B$44) - 1, 0)</f>
        <v>8.1635933765574951</v>
      </c>
      <c r="AH80" s="100">
        <f>IF(ISNUMBER('General Info'!$B$42), (SamplingData[[#This Row],[Running (cumulative) sum]] * ('General Info'!$B$42 -'General Info'!$B$43 + 1)) + 'General Info'!$B$43 - 1, 0)</f>
        <v>8542.3175543661564</v>
      </c>
      <c r="AI80" s="100" t="str">
        <f>IF(ISERROR(MATCH(SamplingData[[#This Row],[Batch by Type (p)]],SelectedPrecincts[Batch Name], 0)), "", INDEX(SelectedPrecincts[Draw], MATCH(SamplingData[[#This Row],[Batch by Type (p)]],SelectedPrecincts[Batch Name], 0)))</f>
        <v/>
      </c>
      <c r="AJ80" s="101">
        <f>IF(COUNTIF(SelectedPrecincts[Batch Name],SamplingData[[#This Row],[Batch by Type (p)]]) &lt;&gt; 0, COUNTIF(SelectedPrecincts[Batch Name],SamplingData[[#This Row],[Batch by Type (p)]]), 0)</f>
        <v>0</v>
      </c>
    </row>
    <row r="81" spans="1:36" ht="15" customHeight="1" x14ac:dyDescent="0.35">
      <c r="A81" s="98" t="s">
        <v>292</v>
      </c>
      <c r="B81" s="98">
        <v>14</v>
      </c>
      <c r="C81" s="98">
        <v>1</v>
      </c>
      <c r="D81" s="93">
        <v>1</v>
      </c>
      <c r="E81" s="93"/>
      <c r="F81" s="93"/>
      <c r="G81" s="97"/>
      <c r="H81" s="97"/>
      <c r="I81" s="93"/>
      <c r="J81" s="93"/>
      <c r="K81" s="93"/>
      <c r="L81" s="93"/>
      <c r="M81" s="93"/>
      <c r="N81" s="98">
        <v>0</v>
      </c>
      <c r="O81" s="98">
        <v>0</v>
      </c>
      <c r="P81" s="99">
        <f>SUM(SamplingData[[#This Row],[Winning Candidate]:[Under Votes]])</f>
        <v>16</v>
      </c>
      <c r="Q81"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81" s="100">
        <f>IF(AND(SamplingData[[#This Row],[Total]]&lt;&gt; 0, NOT(ISBLANK(SamplingData[[#This Row],[Candidate 3]]))),(SamplingData[[#This Row],[Total]]+SamplingData[[#This Row],[Winning Candidate]]-SamplingData[[#This Row],[Candidate 3]])/(SamplingData[[#Totals],[Winning Candidate]]-SamplingData[[#Totals],[Candidate 3]]), 0)</f>
        <v>1.6369383608037932E-3</v>
      </c>
      <c r="S81" s="100">
        <f>IF(AND(SamplingData[[#This Row],[Total]]&lt;&gt; 0, NOT(ISBLANK(SamplingData[[#This Row],[Candidate 4]]))),(SamplingData[[#This Row],[Total]]+SamplingData[[#This Row],[Winning Candidate]]-SamplingData[[#This Row],[Candidate 4]])/(SamplingData[[#Totals],[Winning Candidate]]-SamplingData[[#Totals],[Candidate 4]]), 0)</f>
        <v>0</v>
      </c>
      <c r="T81" s="100">
        <f>IF(AND(SamplingData[[#This Row],[Total]]&lt;&gt; 0, NOT(ISBLANK(SamplingData[[#This Row],[Candidate 5]]))),(SamplingData[[#This Row],[Total]]+SamplingData[[#This Row],[Winning Candidate]]-SamplingData[[#This Row],[Candidate 5]])/(SamplingData[[#Totals],[Winning Candidate]]-SamplingData[[#Totals],[Candidate 5]]), 0)</f>
        <v>0</v>
      </c>
      <c r="U81" s="100">
        <f>IF(AND(SamplingData[[#This Row],[Total]]&lt;&gt; 0, NOT(ISBLANK(SamplingData[[#This Row],[Candidate 6]]))),(SamplingData[[#This Row],[Total]]+SamplingData[[#This Row],[Losing Candidate]]-SamplingData[[#This Row],[Candidate 6]])/(SamplingData[[#Totals],[Winning Candidate]]-SamplingData[[#Totals],[Candidate 6]]), 0)</f>
        <v>0</v>
      </c>
      <c r="V81" s="100">
        <f>IF(AND(SamplingData[[#This Row],[Total]]&lt;&gt; 0, NOT(ISBLANK(SamplingData[[#This Row],[Candidate 7]]))),(SamplingData[[#This Row],[Total]]+SamplingData[[#This Row],[Winning Candidate]]-SamplingData[[#This Row],[Candidate 7]])/(SamplingData[[#Totals],[Winning Candidate]]-SamplingData[[#Totals],[Candidate 7]]), 0)</f>
        <v>0</v>
      </c>
      <c r="W81" s="100">
        <f>IF(AND(SamplingData[[#This Row],[Total]]&lt;&gt; 0, NOT(ISBLANK(SamplingData[[#This Row],[Candidate 8]]))),(SamplingData[[#This Row],[Total]]+SamplingData[[#This Row],[Winning Candidate]]-SamplingData[[#This Row],[Candidate 8]])/(SamplingData[[#Totals],[Winning Candidate]]-SamplingData[[#Totals],[Candidate 8]]), 0)</f>
        <v>0</v>
      </c>
      <c r="X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1" s="100">
        <f>MAX(SamplingData[[#This Row],[Error Bound (up) - Max. possible relative overstatement - Losing Candidate]:[Error Bound (up) - Max. possible relative overstatement - Candidate 12]])</f>
        <v>1.8330067631628848E-3</v>
      </c>
      <c r="AC81" s="100">
        <f>IF(SamplingData[[#This Row],[Max Error Bound (up)]] = 0,0,SamplingData[[#This Row],[Max Error Bound (up)]]/SamplingData[[#Totals],[Max Error Bound (up)]])</f>
        <v>7.4393596920448851E-4</v>
      </c>
      <c r="AD81" s="104">
        <f>SUM($AC$5:AC81)</f>
        <v>8.6177111512866042E-2</v>
      </c>
      <c r="AE81" s="100" t="str" cm="1">
        <f t="array" ref="AE81">IF(SamplingData[[#This Row],[up/U Selection Probability]] = 0, "Zero", TEXT(SamplingData[[#This Row],[Lower Range]], REPT("0",LEN('General Info'!$B$42))) &amp; " - " &amp; TEXT(SamplingData[[#This Row],[Upper Range]], REPT("0",LEN('General Info'!$B$42))))</f>
        <v>08543 - 08617</v>
      </c>
      <c r="AF81" s="100">
        <f>SamplingData[[#This Row],[Upper Range]]-SamplingData[[#This Row],[Span]]</f>
        <v>8543.3175543661564</v>
      </c>
      <c r="AG81" s="100">
        <f>IF(ISNUMBER('General Info'!$B$42), ((SamplingData[[#This Row],[up/U Selection Probability]]) * 'General Info'!$B$44) - 1, 0)</f>
        <v>73.393596920448857</v>
      </c>
      <c r="AH81" s="100">
        <f>IF(ISNUMBER('General Info'!$B$42), (SamplingData[[#This Row],[Running (cumulative) sum]] * ('General Info'!$B$42 -'General Info'!$B$43 + 1)) + 'General Info'!$B$43 - 1, 0)</f>
        <v>8616.7111512866049</v>
      </c>
      <c r="AI81" s="100" t="str">
        <f>IF(ISERROR(MATCH(SamplingData[[#This Row],[Batch by Type (p)]],SelectedPrecincts[Batch Name], 0)), "", INDEX(SelectedPrecincts[Draw], MATCH(SamplingData[[#This Row],[Batch by Type (p)]],SelectedPrecincts[Batch Name], 0)))</f>
        <v/>
      </c>
      <c r="AJ81" s="101">
        <f>IF(COUNTIF(SelectedPrecincts[Batch Name],SamplingData[[#This Row],[Batch by Type (p)]]) &lt;&gt; 0, COUNTIF(SelectedPrecincts[Batch Name],SamplingData[[#This Row],[Batch by Type (p)]]), 0)</f>
        <v>0</v>
      </c>
    </row>
    <row r="82" spans="1:36" ht="15" customHeight="1" x14ac:dyDescent="0.35">
      <c r="A82" s="98" t="s">
        <v>293</v>
      </c>
      <c r="B82" s="98">
        <v>5</v>
      </c>
      <c r="C82" s="98">
        <v>1</v>
      </c>
      <c r="D82" s="93">
        <v>0</v>
      </c>
      <c r="E82" s="93"/>
      <c r="F82" s="93"/>
      <c r="G82" s="97"/>
      <c r="H82" s="97"/>
      <c r="I82" s="93"/>
      <c r="J82" s="93"/>
      <c r="K82" s="93"/>
      <c r="L82" s="93"/>
      <c r="M82" s="93"/>
      <c r="N82" s="98">
        <v>0</v>
      </c>
      <c r="O82" s="98">
        <v>0</v>
      </c>
      <c r="P82" s="99">
        <f>SUM(SamplingData[[#This Row],[Winning Candidate]:[Under Votes]])</f>
        <v>6</v>
      </c>
      <c r="Q82" s="100">
        <f>IF(AND(SamplingData[[#This Row],[Total]]&lt;&gt; 0, NOT(ISBLANK(SamplingData[[#This Row],[Losing Candidate]]))),(SamplingData[[#This Row],[Total]]+SamplingData[[#This Row],[Winning Candidate]]-SamplingData[[#This Row],[Losing Candidate]])/(SamplingData[[#Totals],[Winning Candidate]]-SamplingData[[#Totals],[Losing Candidate]]), 0)</f>
        <v>6.3207129764237407E-4</v>
      </c>
      <c r="R82" s="100">
        <f>IF(AND(SamplingData[[#This Row],[Total]]&lt;&gt; 0, NOT(ISBLANK(SamplingData[[#This Row],[Candidate 3]]))),(SamplingData[[#This Row],[Total]]+SamplingData[[#This Row],[Winning Candidate]]-SamplingData[[#This Row],[Candidate 3]])/(SamplingData[[#Totals],[Winning Candidate]]-SamplingData[[#Totals],[Candidate 3]]), 0)</f>
        <v>6.2090765409799048E-4</v>
      </c>
      <c r="S82" s="100">
        <f>IF(AND(SamplingData[[#This Row],[Total]]&lt;&gt; 0, NOT(ISBLANK(SamplingData[[#This Row],[Candidate 4]]))),(SamplingData[[#This Row],[Total]]+SamplingData[[#This Row],[Winning Candidate]]-SamplingData[[#This Row],[Candidate 4]])/(SamplingData[[#Totals],[Winning Candidate]]-SamplingData[[#Totals],[Candidate 4]]), 0)</f>
        <v>0</v>
      </c>
      <c r="T82" s="100">
        <f>IF(AND(SamplingData[[#This Row],[Total]]&lt;&gt; 0, NOT(ISBLANK(SamplingData[[#This Row],[Candidate 5]]))),(SamplingData[[#This Row],[Total]]+SamplingData[[#This Row],[Winning Candidate]]-SamplingData[[#This Row],[Candidate 5]])/(SamplingData[[#Totals],[Winning Candidate]]-SamplingData[[#Totals],[Candidate 5]]), 0)</f>
        <v>0</v>
      </c>
      <c r="U82" s="100">
        <f>IF(AND(SamplingData[[#This Row],[Total]]&lt;&gt; 0, NOT(ISBLANK(SamplingData[[#This Row],[Candidate 6]]))),(SamplingData[[#This Row],[Total]]+SamplingData[[#This Row],[Losing Candidate]]-SamplingData[[#This Row],[Candidate 6]])/(SamplingData[[#Totals],[Winning Candidate]]-SamplingData[[#Totals],[Candidate 6]]), 0)</f>
        <v>0</v>
      </c>
      <c r="V82" s="100">
        <f>IF(AND(SamplingData[[#This Row],[Total]]&lt;&gt; 0, NOT(ISBLANK(SamplingData[[#This Row],[Candidate 7]]))),(SamplingData[[#This Row],[Total]]+SamplingData[[#This Row],[Winning Candidate]]-SamplingData[[#This Row],[Candidate 7]])/(SamplingData[[#Totals],[Winning Candidate]]-SamplingData[[#Totals],[Candidate 7]]), 0)</f>
        <v>0</v>
      </c>
      <c r="W82" s="100">
        <f>IF(AND(SamplingData[[#This Row],[Total]]&lt;&gt; 0, NOT(ISBLANK(SamplingData[[#This Row],[Candidate 8]]))),(SamplingData[[#This Row],[Total]]+SamplingData[[#This Row],[Winning Candidate]]-SamplingData[[#This Row],[Candidate 8]])/(SamplingData[[#Totals],[Winning Candidate]]-SamplingData[[#Totals],[Candidate 8]]), 0)</f>
        <v>0</v>
      </c>
      <c r="X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2" s="100">
        <f>MAX(SamplingData[[#This Row],[Error Bound (up) - Max. possible relative overstatement - Losing Candidate]:[Error Bound (up) - Max. possible relative overstatement - Candidate 12]])</f>
        <v>6.3207129764237407E-4</v>
      </c>
      <c r="AC82" s="100">
        <f>IF(SamplingData[[#This Row],[Max Error Bound (up)]] = 0,0,SamplingData[[#This Row],[Max Error Bound (up)]]/SamplingData[[#Totals],[Max Error Bound (up)]])</f>
        <v>2.5652964455327189E-4</v>
      </c>
      <c r="AD82" s="104">
        <f>SUM($AC$5:AC82)</f>
        <v>8.6433641157419319E-2</v>
      </c>
      <c r="AE82" s="100" t="str" cm="1">
        <f t="array" ref="AE82">IF(SamplingData[[#This Row],[up/U Selection Probability]] = 0, "Zero", TEXT(SamplingData[[#This Row],[Lower Range]], REPT("0",LEN('General Info'!$B$42))) &amp; " - " &amp; TEXT(SamplingData[[#This Row],[Upper Range]], REPT("0",LEN('General Info'!$B$42))))</f>
        <v>08618 - 08642</v>
      </c>
      <c r="AF82" s="100">
        <f>SamplingData[[#This Row],[Upper Range]]-SamplingData[[#This Row],[Span]]</f>
        <v>8617.7111512866049</v>
      </c>
      <c r="AG82" s="100">
        <f>IF(ISNUMBER('General Info'!$B$42), ((SamplingData[[#This Row],[up/U Selection Probability]]) * 'General Info'!$B$44) - 1, 0)</f>
        <v>24.65296445532719</v>
      </c>
      <c r="AH82" s="100">
        <f>IF(ISNUMBER('General Info'!$B$42), (SamplingData[[#This Row],[Running (cumulative) sum]] * ('General Info'!$B$42 -'General Info'!$B$43 + 1)) + 'General Info'!$B$43 - 1, 0)</f>
        <v>8642.3641157419315</v>
      </c>
      <c r="AI82" s="100" t="str">
        <f>IF(ISERROR(MATCH(SamplingData[[#This Row],[Batch by Type (p)]],SelectedPrecincts[Batch Name], 0)), "", INDEX(SelectedPrecincts[Draw], MATCH(SamplingData[[#This Row],[Batch by Type (p)]],SelectedPrecincts[Batch Name], 0)))</f>
        <v/>
      </c>
      <c r="AJ82" s="101">
        <f>IF(COUNTIF(SelectedPrecincts[Batch Name],SamplingData[[#This Row],[Batch by Type (p)]]) &lt;&gt; 0, COUNTIF(SelectedPrecincts[Batch Name],SamplingData[[#This Row],[Batch by Type (p)]]), 0)</f>
        <v>0</v>
      </c>
    </row>
    <row r="83" spans="1:36" ht="15" customHeight="1" x14ac:dyDescent="0.35">
      <c r="A83" s="98" t="s">
        <v>294</v>
      </c>
      <c r="B83" s="98">
        <v>0</v>
      </c>
      <c r="C83" s="98">
        <v>0</v>
      </c>
      <c r="D83" s="93">
        <v>0</v>
      </c>
      <c r="E83" s="93"/>
      <c r="F83" s="93"/>
      <c r="G83" s="97"/>
      <c r="H83" s="97"/>
      <c r="I83" s="93"/>
      <c r="J83" s="93"/>
      <c r="K83" s="93"/>
      <c r="L83" s="93"/>
      <c r="M83" s="93"/>
      <c r="N83" s="98">
        <v>0</v>
      </c>
      <c r="O83" s="98">
        <v>0</v>
      </c>
      <c r="P83" s="99">
        <f>SUM(SamplingData[[#This Row],[Winning Candidate]:[Under Votes]])</f>
        <v>0</v>
      </c>
      <c r="Q83" s="100">
        <f>IF(AND(SamplingData[[#This Row],[Total]]&lt;&gt; 0, NOT(ISBLANK(SamplingData[[#This Row],[Losing Candidate]]))),(SamplingData[[#This Row],[Total]]+SamplingData[[#This Row],[Winning Candidate]]-SamplingData[[#This Row],[Losing Candidate]])/(SamplingData[[#Totals],[Winning Candidate]]-SamplingData[[#Totals],[Losing Candidate]]), 0)</f>
        <v>0</v>
      </c>
      <c r="R83" s="100">
        <f>IF(AND(SamplingData[[#This Row],[Total]]&lt;&gt; 0, NOT(ISBLANK(SamplingData[[#This Row],[Candidate 3]]))),(SamplingData[[#This Row],[Total]]+SamplingData[[#This Row],[Winning Candidate]]-SamplingData[[#This Row],[Candidate 3]])/(SamplingData[[#Totals],[Winning Candidate]]-SamplingData[[#Totals],[Candidate 3]]), 0)</f>
        <v>0</v>
      </c>
      <c r="S83" s="100">
        <f>IF(AND(SamplingData[[#This Row],[Total]]&lt;&gt; 0, NOT(ISBLANK(SamplingData[[#This Row],[Candidate 4]]))),(SamplingData[[#This Row],[Total]]+SamplingData[[#This Row],[Winning Candidate]]-SamplingData[[#This Row],[Candidate 4]])/(SamplingData[[#Totals],[Winning Candidate]]-SamplingData[[#Totals],[Candidate 4]]), 0)</f>
        <v>0</v>
      </c>
      <c r="T83" s="100">
        <f>IF(AND(SamplingData[[#This Row],[Total]]&lt;&gt; 0, NOT(ISBLANK(SamplingData[[#This Row],[Candidate 5]]))),(SamplingData[[#This Row],[Total]]+SamplingData[[#This Row],[Winning Candidate]]-SamplingData[[#This Row],[Candidate 5]])/(SamplingData[[#Totals],[Winning Candidate]]-SamplingData[[#Totals],[Candidate 5]]), 0)</f>
        <v>0</v>
      </c>
      <c r="U83" s="100">
        <f>IF(AND(SamplingData[[#This Row],[Total]]&lt;&gt; 0, NOT(ISBLANK(SamplingData[[#This Row],[Candidate 6]]))),(SamplingData[[#This Row],[Total]]+SamplingData[[#This Row],[Losing Candidate]]-SamplingData[[#This Row],[Candidate 6]])/(SamplingData[[#Totals],[Winning Candidate]]-SamplingData[[#Totals],[Candidate 6]]), 0)</f>
        <v>0</v>
      </c>
      <c r="V83" s="100">
        <f>IF(AND(SamplingData[[#This Row],[Total]]&lt;&gt; 0, NOT(ISBLANK(SamplingData[[#This Row],[Candidate 7]]))),(SamplingData[[#This Row],[Total]]+SamplingData[[#This Row],[Winning Candidate]]-SamplingData[[#This Row],[Candidate 7]])/(SamplingData[[#Totals],[Winning Candidate]]-SamplingData[[#Totals],[Candidate 7]]), 0)</f>
        <v>0</v>
      </c>
      <c r="W83" s="100">
        <f>IF(AND(SamplingData[[#This Row],[Total]]&lt;&gt; 0, NOT(ISBLANK(SamplingData[[#This Row],[Candidate 8]]))),(SamplingData[[#This Row],[Total]]+SamplingData[[#This Row],[Winning Candidate]]-SamplingData[[#This Row],[Candidate 8]])/(SamplingData[[#Totals],[Winning Candidate]]-SamplingData[[#Totals],[Candidate 8]]), 0)</f>
        <v>0</v>
      </c>
      <c r="X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3" s="100">
        <f>MAX(SamplingData[[#This Row],[Error Bound (up) - Max. possible relative overstatement - Losing Candidate]:[Error Bound (up) - Max. possible relative overstatement - Candidate 12]])</f>
        <v>0</v>
      </c>
      <c r="AC83" s="100">
        <f>IF(SamplingData[[#This Row],[Max Error Bound (up)]] = 0,0,SamplingData[[#This Row],[Max Error Bound (up)]]/SamplingData[[#Totals],[Max Error Bound (up)]])</f>
        <v>0</v>
      </c>
      <c r="AD83" s="104">
        <f>SUM($AC$5:AC83)</f>
        <v>8.6433641157419319E-2</v>
      </c>
      <c r="AE83" s="100" t="str" cm="1">
        <f t="array" ref="AE83">IF(SamplingData[[#This Row],[up/U Selection Probability]] = 0, "Zero", TEXT(SamplingData[[#This Row],[Lower Range]], REPT("0",LEN('General Info'!$B$42))) &amp; " - " &amp; TEXT(SamplingData[[#This Row],[Upper Range]], REPT("0",LEN('General Info'!$B$42))))</f>
        <v>Zero</v>
      </c>
      <c r="AF83" s="100">
        <f>SamplingData[[#This Row],[Upper Range]]-SamplingData[[#This Row],[Span]]</f>
        <v>8643.3641157419315</v>
      </c>
      <c r="AG83" s="100">
        <f>IF(ISNUMBER('General Info'!$B$42), ((SamplingData[[#This Row],[up/U Selection Probability]]) * 'General Info'!$B$44) - 1, 0)</f>
        <v>-1</v>
      </c>
      <c r="AH83" s="100">
        <f>IF(ISNUMBER('General Info'!$B$42), (SamplingData[[#This Row],[Running (cumulative) sum]] * ('General Info'!$B$42 -'General Info'!$B$43 + 1)) + 'General Info'!$B$43 - 1, 0)</f>
        <v>8642.3641157419315</v>
      </c>
      <c r="AI83" s="100" t="str">
        <f>IF(ISERROR(MATCH(SamplingData[[#This Row],[Batch by Type (p)]],SelectedPrecincts[Batch Name], 0)), "", INDEX(SelectedPrecincts[Draw], MATCH(SamplingData[[#This Row],[Batch by Type (p)]],SelectedPrecincts[Batch Name], 0)))</f>
        <v/>
      </c>
      <c r="AJ83" s="101">
        <f>IF(COUNTIF(SelectedPrecincts[Batch Name],SamplingData[[#This Row],[Batch by Type (p)]]) &lt;&gt; 0, COUNTIF(SelectedPrecincts[Batch Name],SamplingData[[#This Row],[Batch by Type (p)]]), 0)</f>
        <v>0</v>
      </c>
    </row>
    <row r="84" spans="1:36" ht="15" customHeight="1" x14ac:dyDescent="0.35">
      <c r="A84" s="98" t="s">
        <v>295</v>
      </c>
      <c r="B84" s="98">
        <v>5</v>
      </c>
      <c r="C84" s="98">
        <v>1</v>
      </c>
      <c r="D84" s="93">
        <v>0</v>
      </c>
      <c r="E84" s="93"/>
      <c r="F84" s="93"/>
      <c r="G84" s="97"/>
      <c r="H84" s="97"/>
      <c r="I84" s="93"/>
      <c r="J84" s="93"/>
      <c r="K84" s="93"/>
      <c r="L84" s="93"/>
      <c r="M84" s="93"/>
      <c r="N84" s="98">
        <v>0</v>
      </c>
      <c r="O84" s="98">
        <v>0</v>
      </c>
      <c r="P84" s="99">
        <f>SUM(SamplingData[[#This Row],[Winning Candidate]:[Under Votes]])</f>
        <v>6</v>
      </c>
      <c r="Q84" s="100">
        <f>IF(AND(SamplingData[[#This Row],[Total]]&lt;&gt; 0, NOT(ISBLANK(SamplingData[[#This Row],[Losing Candidate]]))),(SamplingData[[#This Row],[Total]]+SamplingData[[#This Row],[Winning Candidate]]-SamplingData[[#This Row],[Losing Candidate]])/(SamplingData[[#Totals],[Winning Candidate]]-SamplingData[[#Totals],[Losing Candidate]]), 0)</f>
        <v>6.3207129764237407E-4</v>
      </c>
      <c r="R84" s="100">
        <f>IF(AND(SamplingData[[#This Row],[Total]]&lt;&gt; 0, NOT(ISBLANK(SamplingData[[#This Row],[Candidate 3]]))),(SamplingData[[#This Row],[Total]]+SamplingData[[#This Row],[Winning Candidate]]-SamplingData[[#This Row],[Candidate 3]])/(SamplingData[[#Totals],[Winning Candidate]]-SamplingData[[#Totals],[Candidate 3]]), 0)</f>
        <v>6.2090765409799048E-4</v>
      </c>
      <c r="S84" s="100">
        <f>IF(AND(SamplingData[[#This Row],[Total]]&lt;&gt; 0, NOT(ISBLANK(SamplingData[[#This Row],[Candidate 4]]))),(SamplingData[[#This Row],[Total]]+SamplingData[[#This Row],[Winning Candidate]]-SamplingData[[#This Row],[Candidate 4]])/(SamplingData[[#Totals],[Winning Candidate]]-SamplingData[[#Totals],[Candidate 4]]), 0)</f>
        <v>0</v>
      </c>
      <c r="T84" s="100">
        <f>IF(AND(SamplingData[[#This Row],[Total]]&lt;&gt; 0, NOT(ISBLANK(SamplingData[[#This Row],[Candidate 5]]))),(SamplingData[[#This Row],[Total]]+SamplingData[[#This Row],[Winning Candidate]]-SamplingData[[#This Row],[Candidate 5]])/(SamplingData[[#Totals],[Winning Candidate]]-SamplingData[[#Totals],[Candidate 5]]), 0)</f>
        <v>0</v>
      </c>
      <c r="U84" s="100">
        <f>IF(AND(SamplingData[[#This Row],[Total]]&lt;&gt; 0, NOT(ISBLANK(SamplingData[[#This Row],[Candidate 6]]))),(SamplingData[[#This Row],[Total]]+SamplingData[[#This Row],[Losing Candidate]]-SamplingData[[#This Row],[Candidate 6]])/(SamplingData[[#Totals],[Winning Candidate]]-SamplingData[[#Totals],[Candidate 6]]), 0)</f>
        <v>0</v>
      </c>
      <c r="V84" s="100">
        <f>IF(AND(SamplingData[[#This Row],[Total]]&lt;&gt; 0, NOT(ISBLANK(SamplingData[[#This Row],[Candidate 7]]))),(SamplingData[[#This Row],[Total]]+SamplingData[[#This Row],[Winning Candidate]]-SamplingData[[#This Row],[Candidate 7]])/(SamplingData[[#Totals],[Winning Candidate]]-SamplingData[[#Totals],[Candidate 7]]), 0)</f>
        <v>0</v>
      </c>
      <c r="W84" s="100">
        <f>IF(AND(SamplingData[[#This Row],[Total]]&lt;&gt; 0, NOT(ISBLANK(SamplingData[[#This Row],[Candidate 8]]))),(SamplingData[[#This Row],[Total]]+SamplingData[[#This Row],[Winning Candidate]]-SamplingData[[#This Row],[Candidate 8]])/(SamplingData[[#Totals],[Winning Candidate]]-SamplingData[[#Totals],[Candidate 8]]), 0)</f>
        <v>0</v>
      </c>
      <c r="X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4" s="100">
        <f>MAX(SamplingData[[#This Row],[Error Bound (up) - Max. possible relative overstatement - Losing Candidate]:[Error Bound (up) - Max. possible relative overstatement - Candidate 12]])</f>
        <v>6.3207129764237407E-4</v>
      </c>
      <c r="AC84" s="100">
        <f>IF(SamplingData[[#This Row],[Max Error Bound (up)]] = 0,0,SamplingData[[#This Row],[Max Error Bound (up)]]/SamplingData[[#Totals],[Max Error Bound (up)]])</f>
        <v>2.5652964455327189E-4</v>
      </c>
      <c r="AD84" s="104">
        <f>SUM($AC$5:AC84)</f>
        <v>8.6690170801972596E-2</v>
      </c>
      <c r="AE84" s="100" t="str" cm="1">
        <f t="array" ref="AE84">IF(SamplingData[[#This Row],[up/U Selection Probability]] = 0, "Zero", TEXT(SamplingData[[#This Row],[Lower Range]], REPT("0",LEN('General Info'!$B$42))) &amp; " - " &amp; TEXT(SamplingData[[#This Row],[Upper Range]], REPT("0",LEN('General Info'!$B$42))))</f>
        <v>08643 - 08668</v>
      </c>
      <c r="AF84" s="100">
        <f>SamplingData[[#This Row],[Upper Range]]-SamplingData[[#This Row],[Span]]</f>
        <v>8643.3641157419333</v>
      </c>
      <c r="AG84" s="100">
        <f>IF(ISNUMBER('General Info'!$B$42), ((SamplingData[[#This Row],[up/U Selection Probability]]) * 'General Info'!$B$44) - 1, 0)</f>
        <v>24.65296445532719</v>
      </c>
      <c r="AH84" s="100">
        <f>IF(ISNUMBER('General Info'!$B$42), (SamplingData[[#This Row],[Running (cumulative) sum]] * ('General Info'!$B$42 -'General Info'!$B$43 + 1)) + 'General Info'!$B$43 - 1, 0)</f>
        <v>8668.0170801972599</v>
      </c>
      <c r="AI84" s="100" t="str">
        <f>IF(ISERROR(MATCH(SamplingData[[#This Row],[Batch by Type (p)]],SelectedPrecincts[Batch Name], 0)), "", INDEX(SelectedPrecincts[Draw], MATCH(SamplingData[[#This Row],[Batch by Type (p)]],SelectedPrecincts[Batch Name], 0)))</f>
        <v/>
      </c>
      <c r="AJ84" s="101">
        <f>IF(COUNTIF(SelectedPrecincts[Batch Name],SamplingData[[#This Row],[Batch by Type (p)]]) &lt;&gt; 0, COUNTIF(SelectedPrecincts[Batch Name],SamplingData[[#This Row],[Batch by Type (p)]]), 0)</f>
        <v>0</v>
      </c>
    </row>
    <row r="85" spans="1:36" ht="15" customHeight="1" x14ac:dyDescent="0.35">
      <c r="A85" s="98" t="s">
        <v>296</v>
      </c>
      <c r="B85" s="98">
        <v>25</v>
      </c>
      <c r="C85" s="98">
        <v>4</v>
      </c>
      <c r="D85" s="93">
        <v>3</v>
      </c>
      <c r="E85" s="93"/>
      <c r="F85" s="93"/>
      <c r="G85" s="97"/>
      <c r="H85" s="97"/>
      <c r="I85" s="93"/>
      <c r="J85" s="93"/>
      <c r="K85" s="93"/>
      <c r="L85" s="93"/>
      <c r="M85" s="93"/>
      <c r="N85" s="98">
        <v>0</v>
      </c>
      <c r="O85" s="98">
        <v>3</v>
      </c>
      <c r="P85" s="99">
        <f>SUM(SamplingData[[#This Row],[Winning Candidate]:[Under Votes]])</f>
        <v>35</v>
      </c>
      <c r="Q85" s="100">
        <f>IF(AND(SamplingData[[#This Row],[Total]]&lt;&gt; 0, NOT(ISBLANK(SamplingData[[#This Row],[Losing Candidate]]))),(SamplingData[[#This Row],[Total]]+SamplingData[[#This Row],[Winning Candidate]]-SamplingData[[#This Row],[Losing Candidate]])/(SamplingData[[#Totals],[Winning Candidate]]-SamplingData[[#Totals],[Losing Candidate]]), 0)</f>
        <v>3.5395992667972948E-3</v>
      </c>
      <c r="R85" s="100">
        <f>IF(AND(SamplingData[[#This Row],[Total]]&lt;&gt; 0, NOT(ISBLANK(SamplingData[[#This Row],[Candidate 3]]))),(SamplingData[[#This Row],[Total]]+SamplingData[[#This Row],[Winning Candidate]]-SamplingData[[#This Row],[Candidate 3]])/(SamplingData[[#Totals],[Winning Candidate]]-SamplingData[[#Totals],[Candidate 3]]), 0)</f>
        <v>3.2174305712350418E-3</v>
      </c>
      <c r="S85" s="100">
        <f>IF(AND(SamplingData[[#This Row],[Total]]&lt;&gt; 0, NOT(ISBLANK(SamplingData[[#This Row],[Candidate 4]]))),(SamplingData[[#This Row],[Total]]+SamplingData[[#This Row],[Winning Candidate]]-SamplingData[[#This Row],[Candidate 4]])/(SamplingData[[#Totals],[Winning Candidate]]-SamplingData[[#Totals],[Candidate 4]]), 0)</f>
        <v>0</v>
      </c>
      <c r="T85" s="100">
        <f>IF(AND(SamplingData[[#This Row],[Total]]&lt;&gt; 0, NOT(ISBLANK(SamplingData[[#This Row],[Candidate 5]]))),(SamplingData[[#This Row],[Total]]+SamplingData[[#This Row],[Winning Candidate]]-SamplingData[[#This Row],[Candidate 5]])/(SamplingData[[#Totals],[Winning Candidate]]-SamplingData[[#Totals],[Candidate 5]]), 0)</f>
        <v>0</v>
      </c>
      <c r="U85" s="100">
        <f>IF(AND(SamplingData[[#This Row],[Total]]&lt;&gt; 0, NOT(ISBLANK(SamplingData[[#This Row],[Candidate 6]]))),(SamplingData[[#This Row],[Total]]+SamplingData[[#This Row],[Losing Candidate]]-SamplingData[[#This Row],[Candidate 6]])/(SamplingData[[#Totals],[Winning Candidate]]-SamplingData[[#Totals],[Candidate 6]]), 0)</f>
        <v>0</v>
      </c>
      <c r="V85" s="100">
        <f>IF(AND(SamplingData[[#This Row],[Total]]&lt;&gt; 0, NOT(ISBLANK(SamplingData[[#This Row],[Candidate 7]]))),(SamplingData[[#This Row],[Total]]+SamplingData[[#This Row],[Winning Candidate]]-SamplingData[[#This Row],[Candidate 7]])/(SamplingData[[#Totals],[Winning Candidate]]-SamplingData[[#Totals],[Candidate 7]]), 0)</f>
        <v>0</v>
      </c>
      <c r="W85" s="100">
        <f>IF(AND(SamplingData[[#This Row],[Total]]&lt;&gt; 0, NOT(ISBLANK(SamplingData[[#This Row],[Candidate 8]]))),(SamplingData[[#This Row],[Total]]+SamplingData[[#This Row],[Winning Candidate]]-SamplingData[[#This Row],[Candidate 8]])/(SamplingData[[#Totals],[Winning Candidate]]-SamplingData[[#Totals],[Candidate 8]]), 0)</f>
        <v>0</v>
      </c>
      <c r="X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5" s="100">
        <f>MAX(SamplingData[[#This Row],[Error Bound (up) - Max. possible relative overstatement - Losing Candidate]:[Error Bound (up) - Max. possible relative overstatement - Candidate 12]])</f>
        <v>3.5395992667972948E-3</v>
      </c>
      <c r="AC85" s="100">
        <f>IF(SamplingData[[#This Row],[Max Error Bound (up)]] = 0,0,SamplingData[[#This Row],[Max Error Bound (up)]]/SamplingData[[#Totals],[Max Error Bound (up)]])</f>
        <v>1.4365660094983225E-3</v>
      </c>
      <c r="AD85" s="104">
        <f>SUM($AC$5:AC85)</f>
        <v>8.8126736811470915E-2</v>
      </c>
      <c r="AE85" s="100" t="str" cm="1">
        <f t="array" ref="AE85">IF(SamplingData[[#This Row],[up/U Selection Probability]] = 0, "Zero", TEXT(SamplingData[[#This Row],[Lower Range]], REPT("0",LEN('General Info'!$B$42))) &amp; " - " &amp; TEXT(SamplingData[[#This Row],[Upper Range]], REPT("0",LEN('General Info'!$B$42))))</f>
        <v>08669 - 08812</v>
      </c>
      <c r="AF85" s="100">
        <f>SamplingData[[#This Row],[Upper Range]]-SamplingData[[#This Row],[Span]]</f>
        <v>8669.0170801972581</v>
      </c>
      <c r="AG85" s="100">
        <f>IF(ISNUMBER('General Info'!$B$42), ((SamplingData[[#This Row],[up/U Selection Probability]]) * 'General Info'!$B$44) - 1, 0)</f>
        <v>142.65660094983224</v>
      </c>
      <c r="AH85" s="100">
        <f>IF(ISNUMBER('General Info'!$B$42), (SamplingData[[#This Row],[Running (cumulative) sum]] * ('General Info'!$B$42 -'General Info'!$B$43 + 1)) + 'General Info'!$B$43 - 1, 0)</f>
        <v>8811.673681147091</v>
      </c>
      <c r="AI85" s="100" t="str">
        <f>IF(ISERROR(MATCH(SamplingData[[#This Row],[Batch by Type (p)]],SelectedPrecincts[Batch Name], 0)), "", INDEX(SelectedPrecincts[Draw], MATCH(SamplingData[[#This Row],[Batch by Type (p)]],SelectedPrecincts[Batch Name], 0)))</f>
        <v/>
      </c>
      <c r="AJ85" s="101">
        <f>IF(COUNTIF(SelectedPrecincts[Batch Name],SamplingData[[#This Row],[Batch by Type (p)]]) &lt;&gt; 0, COUNTIF(SelectedPrecincts[Batch Name],SamplingData[[#This Row],[Batch by Type (p)]]), 0)</f>
        <v>0</v>
      </c>
    </row>
    <row r="86" spans="1:36" ht="15" customHeight="1" x14ac:dyDescent="0.35">
      <c r="A86" s="98" t="s">
        <v>297</v>
      </c>
      <c r="B86" s="98">
        <v>3</v>
      </c>
      <c r="C86" s="98">
        <v>1</v>
      </c>
      <c r="D86" s="93">
        <v>0</v>
      </c>
      <c r="E86" s="93"/>
      <c r="F86" s="93"/>
      <c r="G86" s="97"/>
      <c r="H86" s="97"/>
      <c r="I86" s="93"/>
      <c r="J86" s="93"/>
      <c r="K86" s="93"/>
      <c r="L86" s="93"/>
      <c r="M86" s="93"/>
      <c r="N86" s="98">
        <v>0</v>
      </c>
      <c r="O86" s="98">
        <v>0</v>
      </c>
      <c r="P86" s="99">
        <f>SUM(SamplingData[[#This Row],[Winning Candidate]:[Under Votes]])</f>
        <v>4</v>
      </c>
      <c r="Q86" s="100">
        <f>IF(AND(SamplingData[[#This Row],[Total]]&lt;&gt; 0, NOT(ISBLANK(SamplingData[[#This Row],[Losing Candidate]]))),(SamplingData[[#This Row],[Total]]+SamplingData[[#This Row],[Winning Candidate]]-SamplingData[[#This Row],[Losing Candidate]])/(SamplingData[[#Totals],[Winning Candidate]]-SamplingData[[#Totals],[Losing Candidate]]), 0)</f>
        <v>3.7924277858542444E-4</v>
      </c>
      <c r="R86" s="100">
        <f>IF(AND(SamplingData[[#This Row],[Total]]&lt;&gt; 0, NOT(ISBLANK(SamplingData[[#This Row],[Candidate 3]]))),(SamplingData[[#This Row],[Total]]+SamplingData[[#This Row],[Winning Candidate]]-SamplingData[[#This Row],[Candidate 3]])/(SamplingData[[#Totals],[Winning Candidate]]-SamplingData[[#Totals],[Candidate 3]]), 0)</f>
        <v>3.9512305260781214E-4</v>
      </c>
      <c r="S86" s="100">
        <f>IF(AND(SamplingData[[#This Row],[Total]]&lt;&gt; 0, NOT(ISBLANK(SamplingData[[#This Row],[Candidate 4]]))),(SamplingData[[#This Row],[Total]]+SamplingData[[#This Row],[Winning Candidate]]-SamplingData[[#This Row],[Candidate 4]])/(SamplingData[[#Totals],[Winning Candidate]]-SamplingData[[#Totals],[Candidate 4]]), 0)</f>
        <v>0</v>
      </c>
      <c r="T86" s="100">
        <f>IF(AND(SamplingData[[#This Row],[Total]]&lt;&gt; 0, NOT(ISBLANK(SamplingData[[#This Row],[Candidate 5]]))),(SamplingData[[#This Row],[Total]]+SamplingData[[#This Row],[Winning Candidate]]-SamplingData[[#This Row],[Candidate 5]])/(SamplingData[[#Totals],[Winning Candidate]]-SamplingData[[#Totals],[Candidate 5]]), 0)</f>
        <v>0</v>
      </c>
      <c r="U86" s="100">
        <f>IF(AND(SamplingData[[#This Row],[Total]]&lt;&gt; 0, NOT(ISBLANK(SamplingData[[#This Row],[Candidate 6]]))),(SamplingData[[#This Row],[Total]]+SamplingData[[#This Row],[Losing Candidate]]-SamplingData[[#This Row],[Candidate 6]])/(SamplingData[[#Totals],[Winning Candidate]]-SamplingData[[#Totals],[Candidate 6]]), 0)</f>
        <v>0</v>
      </c>
      <c r="V86" s="100">
        <f>IF(AND(SamplingData[[#This Row],[Total]]&lt;&gt; 0, NOT(ISBLANK(SamplingData[[#This Row],[Candidate 7]]))),(SamplingData[[#This Row],[Total]]+SamplingData[[#This Row],[Winning Candidate]]-SamplingData[[#This Row],[Candidate 7]])/(SamplingData[[#Totals],[Winning Candidate]]-SamplingData[[#Totals],[Candidate 7]]), 0)</f>
        <v>0</v>
      </c>
      <c r="W86" s="100">
        <f>IF(AND(SamplingData[[#This Row],[Total]]&lt;&gt; 0, NOT(ISBLANK(SamplingData[[#This Row],[Candidate 8]]))),(SamplingData[[#This Row],[Total]]+SamplingData[[#This Row],[Winning Candidate]]-SamplingData[[#This Row],[Candidate 8]])/(SamplingData[[#Totals],[Winning Candidate]]-SamplingData[[#Totals],[Candidate 8]]), 0)</f>
        <v>0</v>
      </c>
      <c r="X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6" s="100">
        <f>MAX(SamplingData[[#This Row],[Error Bound (up) - Max. possible relative overstatement - Losing Candidate]:[Error Bound (up) - Max. possible relative overstatement - Candidate 12]])</f>
        <v>3.9512305260781214E-4</v>
      </c>
      <c r="AC86" s="100">
        <f>IF(SamplingData[[#This Row],[Max Error Bound (up)]] = 0,0,SamplingData[[#This Row],[Max Error Bound (up)]]/SamplingData[[#Totals],[Max Error Bound (up)]])</f>
        <v>1.6036288408975615E-4</v>
      </c>
      <c r="AD86" s="104">
        <f>SUM($AC$5:AC86)</f>
        <v>8.8287099695560672E-2</v>
      </c>
      <c r="AE86" s="100" t="str" cm="1">
        <f t="array" ref="AE86">IF(SamplingData[[#This Row],[up/U Selection Probability]] = 0, "Zero", TEXT(SamplingData[[#This Row],[Lower Range]], REPT("0",LEN('General Info'!$B$42))) &amp; " - " &amp; TEXT(SamplingData[[#This Row],[Upper Range]], REPT("0",LEN('General Info'!$B$42))))</f>
        <v>08813 - 08828</v>
      </c>
      <c r="AF86" s="100">
        <f>SamplingData[[#This Row],[Upper Range]]-SamplingData[[#This Row],[Span]]</f>
        <v>8812.673681147091</v>
      </c>
      <c r="AG86" s="100">
        <f>IF(ISNUMBER('General Info'!$B$42), ((SamplingData[[#This Row],[up/U Selection Probability]]) * 'General Info'!$B$44) - 1, 0)</f>
        <v>15.036288408975615</v>
      </c>
      <c r="AH86" s="100">
        <f>IF(ISNUMBER('General Info'!$B$42), (SamplingData[[#This Row],[Running (cumulative) sum]] * ('General Info'!$B$42 -'General Info'!$B$43 + 1)) + 'General Info'!$B$43 - 1, 0)</f>
        <v>8827.7099695560664</v>
      </c>
      <c r="AI86" s="100" t="str">
        <f>IF(ISERROR(MATCH(SamplingData[[#This Row],[Batch by Type (p)]],SelectedPrecincts[Batch Name], 0)), "", INDEX(SelectedPrecincts[Draw], MATCH(SamplingData[[#This Row],[Batch by Type (p)]],SelectedPrecincts[Batch Name], 0)))</f>
        <v/>
      </c>
      <c r="AJ86" s="101">
        <f>IF(COUNTIF(SelectedPrecincts[Batch Name],SamplingData[[#This Row],[Batch by Type (p)]]) &lt;&gt; 0, COUNTIF(SelectedPrecincts[Batch Name],SamplingData[[#This Row],[Batch by Type (p)]]), 0)</f>
        <v>0</v>
      </c>
    </row>
    <row r="87" spans="1:36" ht="15" customHeight="1" x14ac:dyDescent="0.35">
      <c r="A87" s="98" t="s">
        <v>298</v>
      </c>
      <c r="B87" s="98">
        <v>14</v>
      </c>
      <c r="C87" s="98">
        <v>1</v>
      </c>
      <c r="D87" s="93">
        <v>1</v>
      </c>
      <c r="E87" s="93"/>
      <c r="F87" s="93"/>
      <c r="G87" s="97"/>
      <c r="H87" s="97"/>
      <c r="I87" s="93"/>
      <c r="J87" s="93"/>
      <c r="K87" s="93"/>
      <c r="L87" s="93"/>
      <c r="M87" s="93"/>
      <c r="N87" s="98">
        <v>0</v>
      </c>
      <c r="O87" s="98">
        <v>0</v>
      </c>
      <c r="P87" s="99">
        <f>SUM(SamplingData[[#This Row],[Winning Candidate]:[Under Votes]])</f>
        <v>16</v>
      </c>
      <c r="Q87"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87" s="100">
        <f>IF(AND(SamplingData[[#This Row],[Total]]&lt;&gt; 0, NOT(ISBLANK(SamplingData[[#This Row],[Candidate 3]]))),(SamplingData[[#This Row],[Total]]+SamplingData[[#This Row],[Winning Candidate]]-SamplingData[[#This Row],[Candidate 3]])/(SamplingData[[#Totals],[Winning Candidate]]-SamplingData[[#Totals],[Candidate 3]]), 0)</f>
        <v>1.6369383608037932E-3</v>
      </c>
      <c r="S87" s="100">
        <f>IF(AND(SamplingData[[#This Row],[Total]]&lt;&gt; 0, NOT(ISBLANK(SamplingData[[#This Row],[Candidate 4]]))),(SamplingData[[#This Row],[Total]]+SamplingData[[#This Row],[Winning Candidate]]-SamplingData[[#This Row],[Candidate 4]])/(SamplingData[[#Totals],[Winning Candidate]]-SamplingData[[#Totals],[Candidate 4]]), 0)</f>
        <v>0</v>
      </c>
      <c r="T87" s="100">
        <f>IF(AND(SamplingData[[#This Row],[Total]]&lt;&gt; 0, NOT(ISBLANK(SamplingData[[#This Row],[Candidate 5]]))),(SamplingData[[#This Row],[Total]]+SamplingData[[#This Row],[Winning Candidate]]-SamplingData[[#This Row],[Candidate 5]])/(SamplingData[[#Totals],[Winning Candidate]]-SamplingData[[#Totals],[Candidate 5]]), 0)</f>
        <v>0</v>
      </c>
      <c r="U87" s="100">
        <f>IF(AND(SamplingData[[#This Row],[Total]]&lt;&gt; 0, NOT(ISBLANK(SamplingData[[#This Row],[Candidate 6]]))),(SamplingData[[#This Row],[Total]]+SamplingData[[#This Row],[Losing Candidate]]-SamplingData[[#This Row],[Candidate 6]])/(SamplingData[[#Totals],[Winning Candidate]]-SamplingData[[#Totals],[Candidate 6]]), 0)</f>
        <v>0</v>
      </c>
      <c r="V87" s="100">
        <f>IF(AND(SamplingData[[#This Row],[Total]]&lt;&gt; 0, NOT(ISBLANK(SamplingData[[#This Row],[Candidate 7]]))),(SamplingData[[#This Row],[Total]]+SamplingData[[#This Row],[Winning Candidate]]-SamplingData[[#This Row],[Candidate 7]])/(SamplingData[[#Totals],[Winning Candidate]]-SamplingData[[#Totals],[Candidate 7]]), 0)</f>
        <v>0</v>
      </c>
      <c r="W87" s="100">
        <f>IF(AND(SamplingData[[#This Row],[Total]]&lt;&gt; 0, NOT(ISBLANK(SamplingData[[#This Row],[Candidate 8]]))),(SamplingData[[#This Row],[Total]]+SamplingData[[#This Row],[Winning Candidate]]-SamplingData[[#This Row],[Candidate 8]])/(SamplingData[[#Totals],[Winning Candidate]]-SamplingData[[#Totals],[Candidate 8]]), 0)</f>
        <v>0</v>
      </c>
      <c r="X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7" s="100">
        <f>MAX(SamplingData[[#This Row],[Error Bound (up) - Max. possible relative overstatement - Losing Candidate]:[Error Bound (up) - Max. possible relative overstatement - Candidate 12]])</f>
        <v>1.8330067631628848E-3</v>
      </c>
      <c r="AC87" s="100">
        <f>IF(SamplingData[[#This Row],[Max Error Bound (up)]] = 0,0,SamplingData[[#This Row],[Max Error Bound (up)]]/SamplingData[[#Totals],[Max Error Bound (up)]])</f>
        <v>7.4393596920448851E-4</v>
      </c>
      <c r="AD87" s="104">
        <f>SUM($AC$5:AC87)</f>
        <v>8.9031035664765154E-2</v>
      </c>
      <c r="AE87" s="100" t="str" cm="1">
        <f t="array" ref="AE87">IF(SamplingData[[#This Row],[up/U Selection Probability]] = 0, "Zero", TEXT(SamplingData[[#This Row],[Lower Range]], REPT("0",LEN('General Info'!$B$42))) &amp; " - " &amp; TEXT(SamplingData[[#This Row],[Upper Range]], REPT("0",LEN('General Info'!$B$42))))</f>
        <v>08829 - 08902</v>
      </c>
      <c r="AF87" s="100">
        <f>SamplingData[[#This Row],[Upper Range]]-SamplingData[[#This Row],[Span]]</f>
        <v>8828.7099695560664</v>
      </c>
      <c r="AG87" s="100">
        <f>IF(ISNUMBER('General Info'!$B$42), ((SamplingData[[#This Row],[up/U Selection Probability]]) * 'General Info'!$B$44) - 1, 0)</f>
        <v>73.393596920448857</v>
      </c>
      <c r="AH87" s="100">
        <f>IF(ISNUMBER('General Info'!$B$42), (SamplingData[[#This Row],[Running (cumulative) sum]] * ('General Info'!$B$42 -'General Info'!$B$43 + 1)) + 'General Info'!$B$43 - 1, 0)</f>
        <v>8902.103566476515</v>
      </c>
      <c r="AI87" s="100" t="str">
        <f>IF(ISERROR(MATCH(SamplingData[[#This Row],[Batch by Type (p)]],SelectedPrecincts[Batch Name], 0)), "", INDEX(SelectedPrecincts[Draw], MATCH(SamplingData[[#This Row],[Batch by Type (p)]],SelectedPrecincts[Batch Name], 0)))</f>
        <v/>
      </c>
      <c r="AJ87" s="101">
        <f>IF(COUNTIF(SelectedPrecincts[Batch Name],SamplingData[[#This Row],[Batch by Type (p)]]) &lt;&gt; 0, COUNTIF(SelectedPrecincts[Batch Name],SamplingData[[#This Row],[Batch by Type (p)]]), 0)</f>
        <v>0</v>
      </c>
    </row>
    <row r="88" spans="1:36" ht="15" customHeight="1" x14ac:dyDescent="0.35">
      <c r="A88" s="98" t="s">
        <v>299</v>
      </c>
      <c r="B88" s="98">
        <v>18</v>
      </c>
      <c r="C88" s="98">
        <v>6</v>
      </c>
      <c r="D88" s="93">
        <v>0</v>
      </c>
      <c r="E88" s="93"/>
      <c r="F88" s="93"/>
      <c r="G88" s="97"/>
      <c r="H88" s="97"/>
      <c r="I88" s="93"/>
      <c r="J88" s="93"/>
      <c r="K88" s="93"/>
      <c r="L88" s="93"/>
      <c r="M88" s="93"/>
      <c r="N88" s="98">
        <v>0</v>
      </c>
      <c r="O88" s="98">
        <v>0</v>
      </c>
      <c r="P88" s="99">
        <f>SUM(SamplingData[[#This Row],[Winning Candidate]:[Under Votes]])</f>
        <v>24</v>
      </c>
      <c r="Q88" s="100">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88" s="100">
        <f>IF(AND(SamplingData[[#This Row],[Total]]&lt;&gt; 0, NOT(ISBLANK(SamplingData[[#This Row],[Candidate 3]]))),(SamplingData[[#This Row],[Total]]+SamplingData[[#This Row],[Winning Candidate]]-SamplingData[[#This Row],[Candidate 3]])/(SamplingData[[#Totals],[Winning Candidate]]-SamplingData[[#Totals],[Candidate 3]]), 0)</f>
        <v>2.3707383156468731E-3</v>
      </c>
      <c r="S88" s="100">
        <f>IF(AND(SamplingData[[#This Row],[Total]]&lt;&gt; 0, NOT(ISBLANK(SamplingData[[#This Row],[Candidate 4]]))),(SamplingData[[#This Row],[Total]]+SamplingData[[#This Row],[Winning Candidate]]-SamplingData[[#This Row],[Candidate 4]])/(SamplingData[[#Totals],[Winning Candidate]]-SamplingData[[#Totals],[Candidate 4]]), 0)</f>
        <v>0</v>
      </c>
      <c r="T88" s="100">
        <f>IF(AND(SamplingData[[#This Row],[Total]]&lt;&gt; 0, NOT(ISBLANK(SamplingData[[#This Row],[Candidate 5]]))),(SamplingData[[#This Row],[Total]]+SamplingData[[#This Row],[Winning Candidate]]-SamplingData[[#This Row],[Candidate 5]])/(SamplingData[[#Totals],[Winning Candidate]]-SamplingData[[#Totals],[Candidate 5]]), 0)</f>
        <v>0</v>
      </c>
      <c r="U88" s="100">
        <f>IF(AND(SamplingData[[#This Row],[Total]]&lt;&gt; 0, NOT(ISBLANK(SamplingData[[#This Row],[Candidate 6]]))),(SamplingData[[#This Row],[Total]]+SamplingData[[#This Row],[Losing Candidate]]-SamplingData[[#This Row],[Candidate 6]])/(SamplingData[[#Totals],[Winning Candidate]]-SamplingData[[#Totals],[Candidate 6]]), 0)</f>
        <v>0</v>
      </c>
      <c r="V88" s="100">
        <f>IF(AND(SamplingData[[#This Row],[Total]]&lt;&gt; 0, NOT(ISBLANK(SamplingData[[#This Row],[Candidate 7]]))),(SamplingData[[#This Row],[Total]]+SamplingData[[#This Row],[Winning Candidate]]-SamplingData[[#This Row],[Candidate 7]])/(SamplingData[[#Totals],[Winning Candidate]]-SamplingData[[#Totals],[Candidate 7]]), 0)</f>
        <v>0</v>
      </c>
      <c r="W88" s="100">
        <f>IF(AND(SamplingData[[#This Row],[Total]]&lt;&gt; 0, NOT(ISBLANK(SamplingData[[#This Row],[Candidate 8]]))),(SamplingData[[#This Row],[Total]]+SamplingData[[#This Row],[Winning Candidate]]-SamplingData[[#This Row],[Candidate 8]])/(SamplingData[[#Totals],[Winning Candidate]]-SamplingData[[#Totals],[Candidate 8]]), 0)</f>
        <v>0</v>
      </c>
      <c r="X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8" s="100">
        <f>MAX(SamplingData[[#This Row],[Error Bound (up) - Max. possible relative overstatement - Losing Candidate]:[Error Bound (up) - Max. possible relative overstatement - Candidate 12]])</f>
        <v>2.3707383156468731E-3</v>
      </c>
      <c r="AC88" s="100">
        <f>IF(SamplingData[[#This Row],[Max Error Bound (up)]] = 0,0,SamplingData[[#This Row],[Max Error Bound (up)]]/SamplingData[[#Totals],[Max Error Bound (up)]])</f>
        <v>9.6217730453853701E-4</v>
      </c>
      <c r="AD88" s="104">
        <f>SUM($AC$5:AC88)</f>
        <v>8.9993212969303696E-2</v>
      </c>
      <c r="AE88" s="100" t="str" cm="1">
        <f t="array" ref="AE88">IF(SamplingData[[#This Row],[up/U Selection Probability]] = 0, "Zero", TEXT(SamplingData[[#This Row],[Lower Range]], REPT("0",LEN('General Info'!$B$42))) &amp; " - " &amp; TEXT(SamplingData[[#This Row],[Upper Range]], REPT("0",LEN('General Info'!$B$42))))</f>
        <v>08903 - 08998</v>
      </c>
      <c r="AF88" s="100">
        <f>SamplingData[[#This Row],[Upper Range]]-SamplingData[[#This Row],[Span]]</f>
        <v>8903.103566476515</v>
      </c>
      <c r="AG88" s="100">
        <f>IF(ISNUMBER('General Info'!$B$42), ((SamplingData[[#This Row],[up/U Selection Probability]]) * 'General Info'!$B$44) - 1, 0)</f>
        <v>95.217730453853704</v>
      </c>
      <c r="AH88" s="100">
        <f>IF(ISNUMBER('General Info'!$B$42), (SamplingData[[#This Row],[Running (cumulative) sum]] * ('General Info'!$B$42 -'General Info'!$B$43 + 1)) + 'General Info'!$B$43 - 1, 0)</f>
        <v>8998.3212969303695</v>
      </c>
      <c r="AI88" s="100" t="str">
        <f>IF(ISERROR(MATCH(SamplingData[[#This Row],[Batch by Type (p)]],SelectedPrecincts[Batch Name], 0)), "", INDEX(SelectedPrecincts[Draw], MATCH(SamplingData[[#This Row],[Batch by Type (p)]],SelectedPrecincts[Batch Name], 0)))</f>
        <v/>
      </c>
      <c r="AJ88" s="101">
        <f>IF(COUNTIF(SelectedPrecincts[Batch Name],SamplingData[[#This Row],[Batch by Type (p)]]) &lt;&gt; 0, COUNTIF(SelectedPrecincts[Batch Name],SamplingData[[#This Row],[Batch by Type (p)]]), 0)</f>
        <v>0</v>
      </c>
    </row>
    <row r="89" spans="1:36" ht="15" customHeight="1" x14ac:dyDescent="0.35">
      <c r="A89" s="98" t="s">
        <v>300</v>
      </c>
      <c r="B89" s="98">
        <v>12</v>
      </c>
      <c r="C89" s="98">
        <v>0</v>
      </c>
      <c r="D89" s="93">
        <v>0</v>
      </c>
      <c r="E89" s="93"/>
      <c r="F89" s="93"/>
      <c r="G89" s="97"/>
      <c r="H89" s="97"/>
      <c r="I89" s="93"/>
      <c r="J89" s="93"/>
      <c r="K89" s="93"/>
      <c r="L89" s="93"/>
      <c r="M89" s="93"/>
      <c r="N89" s="98">
        <v>0</v>
      </c>
      <c r="O89" s="98">
        <v>0</v>
      </c>
      <c r="P89" s="99">
        <f>SUM(SamplingData[[#This Row],[Winning Candidate]:[Under Votes]])</f>
        <v>12</v>
      </c>
      <c r="Q89" s="100">
        <f>IF(AND(SamplingData[[#This Row],[Total]]&lt;&gt; 0, NOT(ISBLANK(SamplingData[[#This Row],[Losing Candidate]]))),(SamplingData[[#This Row],[Total]]+SamplingData[[#This Row],[Winning Candidate]]-SamplingData[[#This Row],[Losing Candidate]])/(SamplingData[[#Totals],[Winning Candidate]]-SamplingData[[#Totals],[Losing Candidate]]), 0)</f>
        <v>1.5169711143416978E-3</v>
      </c>
      <c r="R89" s="100">
        <f>IF(AND(SamplingData[[#This Row],[Total]]&lt;&gt; 0, NOT(ISBLANK(SamplingData[[#This Row],[Candidate 3]]))),(SamplingData[[#This Row],[Total]]+SamplingData[[#This Row],[Winning Candidate]]-SamplingData[[#This Row],[Candidate 3]])/(SamplingData[[#Totals],[Winning Candidate]]-SamplingData[[#Totals],[Candidate 3]]), 0)</f>
        <v>1.3547076089410702E-3</v>
      </c>
      <c r="S89" s="100">
        <f>IF(AND(SamplingData[[#This Row],[Total]]&lt;&gt; 0, NOT(ISBLANK(SamplingData[[#This Row],[Candidate 4]]))),(SamplingData[[#This Row],[Total]]+SamplingData[[#This Row],[Winning Candidate]]-SamplingData[[#This Row],[Candidate 4]])/(SamplingData[[#Totals],[Winning Candidate]]-SamplingData[[#Totals],[Candidate 4]]), 0)</f>
        <v>0</v>
      </c>
      <c r="T89" s="100">
        <f>IF(AND(SamplingData[[#This Row],[Total]]&lt;&gt; 0, NOT(ISBLANK(SamplingData[[#This Row],[Candidate 5]]))),(SamplingData[[#This Row],[Total]]+SamplingData[[#This Row],[Winning Candidate]]-SamplingData[[#This Row],[Candidate 5]])/(SamplingData[[#Totals],[Winning Candidate]]-SamplingData[[#Totals],[Candidate 5]]), 0)</f>
        <v>0</v>
      </c>
      <c r="U89" s="100">
        <f>IF(AND(SamplingData[[#This Row],[Total]]&lt;&gt; 0, NOT(ISBLANK(SamplingData[[#This Row],[Candidate 6]]))),(SamplingData[[#This Row],[Total]]+SamplingData[[#This Row],[Losing Candidate]]-SamplingData[[#This Row],[Candidate 6]])/(SamplingData[[#Totals],[Winning Candidate]]-SamplingData[[#Totals],[Candidate 6]]), 0)</f>
        <v>0</v>
      </c>
      <c r="V89" s="100">
        <f>IF(AND(SamplingData[[#This Row],[Total]]&lt;&gt; 0, NOT(ISBLANK(SamplingData[[#This Row],[Candidate 7]]))),(SamplingData[[#This Row],[Total]]+SamplingData[[#This Row],[Winning Candidate]]-SamplingData[[#This Row],[Candidate 7]])/(SamplingData[[#Totals],[Winning Candidate]]-SamplingData[[#Totals],[Candidate 7]]), 0)</f>
        <v>0</v>
      </c>
      <c r="W89" s="100">
        <f>IF(AND(SamplingData[[#This Row],[Total]]&lt;&gt; 0, NOT(ISBLANK(SamplingData[[#This Row],[Candidate 8]]))),(SamplingData[[#This Row],[Total]]+SamplingData[[#This Row],[Winning Candidate]]-SamplingData[[#This Row],[Candidate 8]])/(SamplingData[[#Totals],[Winning Candidate]]-SamplingData[[#Totals],[Candidate 8]]), 0)</f>
        <v>0</v>
      </c>
      <c r="X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9" s="100">
        <f>MAX(SamplingData[[#This Row],[Error Bound (up) - Max. possible relative overstatement - Losing Candidate]:[Error Bound (up) - Max. possible relative overstatement - Candidate 12]])</f>
        <v>1.5169711143416978E-3</v>
      </c>
      <c r="AC89" s="100">
        <f>IF(SamplingData[[#This Row],[Max Error Bound (up)]] = 0,0,SamplingData[[#This Row],[Max Error Bound (up)]]/SamplingData[[#Totals],[Max Error Bound (up)]])</f>
        <v>6.1567114692785252E-4</v>
      </c>
      <c r="AD89" s="104">
        <f>SUM($AC$5:AC89)</f>
        <v>9.0608884116231553E-2</v>
      </c>
      <c r="AE89" s="100" t="str" cm="1">
        <f t="array" ref="AE89">IF(SamplingData[[#This Row],[up/U Selection Probability]] = 0, "Zero", TEXT(SamplingData[[#This Row],[Lower Range]], REPT("0",LEN('General Info'!$B$42))) &amp; " - " &amp; TEXT(SamplingData[[#This Row],[Upper Range]], REPT("0",LEN('General Info'!$B$42))))</f>
        <v>08999 - 09060</v>
      </c>
      <c r="AF89" s="100">
        <f>SamplingData[[#This Row],[Upper Range]]-SamplingData[[#This Row],[Span]]</f>
        <v>8999.3212969303695</v>
      </c>
      <c r="AG89" s="100">
        <f>IF(ISNUMBER('General Info'!$B$42), ((SamplingData[[#This Row],[up/U Selection Probability]]) * 'General Info'!$B$44) - 1, 0)</f>
        <v>60.567114692785253</v>
      </c>
      <c r="AH89" s="100">
        <f>IF(ISNUMBER('General Info'!$B$42), (SamplingData[[#This Row],[Running (cumulative) sum]] * ('General Info'!$B$42 -'General Info'!$B$43 + 1)) + 'General Info'!$B$43 - 1, 0)</f>
        <v>9059.8884116231548</v>
      </c>
      <c r="AI89" s="100" t="str">
        <f>IF(ISERROR(MATCH(SamplingData[[#This Row],[Batch by Type (p)]],SelectedPrecincts[Batch Name], 0)), "", INDEX(SelectedPrecincts[Draw], MATCH(SamplingData[[#This Row],[Batch by Type (p)]],SelectedPrecincts[Batch Name], 0)))</f>
        <v/>
      </c>
      <c r="AJ89" s="101">
        <f>IF(COUNTIF(SelectedPrecincts[Batch Name],SamplingData[[#This Row],[Batch by Type (p)]]) &lt;&gt; 0, COUNTIF(SelectedPrecincts[Batch Name],SamplingData[[#This Row],[Batch by Type (p)]]), 0)</f>
        <v>0</v>
      </c>
    </row>
    <row r="90" spans="1:36" ht="15" customHeight="1" x14ac:dyDescent="0.35">
      <c r="A90" s="98" t="s">
        <v>301</v>
      </c>
      <c r="B90" s="98">
        <v>16</v>
      </c>
      <c r="C90" s="98">
        <v>3</v>
      </c>
      <c r="D90" s="93">
        <v>0</v>
      </c>
      <c r="E90" s="93"/>
      <c r="F90" s="93"/>
      <c r="G90" s="97"/>
      <c r="H90" s="97"/>
      <c r="I90" s="93"/>
      <c r="J90" s="93"/>
      <c r="K90" s="93"/>
      <c r="L90" s="93"/>
      <c r="M90" s="93"/>
      <c r="N90" s="98">
        <v>0</v>
      </c>
      <c r="O90" s="98">
        <v>0</v>
      </c>
      <c r="P90" s="99">
        <f>SUM(SamplingData[[#This Row],[Winning Candidate]:[Under Votes]])</f>
        <v>19</v>
      </c>
      <c r="Q90" s="100">
        <f>IF(AND(SamplingData[[#This Row],[Total]]&lt;&gt; 0, NOT(ISBLANK(SamplingData[[#This Row],[Losing Candidate]]))),(SamplingData[[#This Row],[Total]]+SamplingData[[#This Row],[Winning Candidate]]-SamplingData[[#This Row],[Losing Candidate]])/(SamplingData[[#Totals],[Winning Candidate]]-SamplingData[[#Totals],[Losing Candidate]]), 0)</f>
        <v>2.022628152455597E-3</v>
      </c>
      <c r="R90" s="100">
        <f>IF(AND(SamplingData[[#This Row],[Total]]&lt;&gt; 0, NOT(ISBLANK(SamplingData[[#This Row],[Candidate 3]]))),(SamplingData[[#This Row],[Total]]+SamplingData[[#This Row],[Winning Candidate]]-SamplingData[[#This Row],[Candidate 3]])/(SamplingData[[#Totals],[Winning Candidate]]-SamplingData[[#Totals],[Candidate 3]]), 0)</f>
        <v>1.9756152630390606E-3</v>
      </c>
      <c r="S90" s="100">
        <f>IF(AND(SamplingData[[#This Row],[Total]]&lt;&gt; 0, NOT(ISBLANK(SamplingData[[#This Row],[Candidate 4]]))),(SamplingData[[#This Row],[Total]]+SamplingData[[#This Row],[Winning Candidate]]-SamplingData[[#This Row],[Candidate 4]])/(SamplingData[[#Totals],[Winning Candidate]]-SamplingData[[#Totals],[Candidate 4]]), 0)</f>
        <v>0</v>
      </c>
      <c r="T90" s="100">
        <f>IF(AND(SamplingData[[#This Row],[Total]]&lt;&gt; 0, NOT(ISBLANK(SamplingData[[#This Row],[Candidate 5]]))),(SamplingData[[#This Row],[Total]]+SamplingData[[#This Row],[Winning Candidate]]-SamplingData[[#This Row],[Candidate 5]])/(SamplingData[[#Totals],[Winning Candidate]]-SamplingData[[#Totals],[Candidate 5]]), 0)</f>
        <v>0</v>
      </c>
      <c r="U90" s="100">
        <f>IF(AND(SamplingData[[#This Row],[Total]]&lt;&gt; 0, NOT(ISBLANK(SamplingData[[#This Row],[Candidate 6]]))),(SamplingData[[#This Row],[Total]]+SamplingData[[#This Row],[Losing Candidate]]-SamplingData[[#This Row],[Candidate 6]])/(SamplingData[[#Totals],[Winning Candidate]]-SamplingData[[#Totals],[Candidate 6]]), 0)</f>
        <v>0</v>
      </c>
      <c r="V90" s="100">
        <f>IF(AND(SamplingData[[#This Row],[Total]]&lt;&gt; 0, NOT(ISBLANK(SamplingData[[#This Row],[Candidate 7]]))),(SamplingData[[#This Row],[Total]]+SamplingData[[#This Row],[Winning Candidate]]-SamplingData[[#This Row],[Candidate 7]])/(SamplingData[[#Totals],[Winning Candidate]]-SamplingData[[#Totals],[Candidate 7]]), 0)</f>
        <v>0</v>
      </c>
      <c r="W90" s="100">
        <f>IF(AND(SamplingData[[#This Row],[Total]]&lt;&gt; 0, NOT(ISBLANK(SamplingData[[#This Row],[Candidate 8]]))),(SamplingData[[#This Row],[Total]]+SamplingData[[#This Row],[Winning Candidate]]-SamplingData[[#This Row],[Candidate 8]])/(SamplingData[[#Totals],[Winning Candidate]]-SamplingData[[#Totals],[Candidate 8]]), 0)</f>
        <v>0</v>
      </c>
      <c r="X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0" s="100">
        <f>MAX(SamplingData[[#This Row],[Error Bound (up) - Max. possible relative overstatement - Losing Candidate]:[Error Bound (up) - Max. possible relative overstatement - Candidate 12]])</f>
        <v>2.022628152455597E-3</v>
      </c>
      <c r="AC90" s="100">
        <f>IF(SamplingData[[#This Row],[Max Error Bound (up)]] = 0,0,SamplingData[[#This Row],[Max Error Bound (up)]]/SamplingData[[#Totals],[Max Error Bound (up)]])</f>
        <v>8.2089486257047009E-4</v>
      </c>
      <c r="AD90" s="104">
        <f>SUM($AC$5:AC90)</f>
        <v>9.1429778978802029E-2</v>
      </c>
      <c r="AE90" s="100" t="str" cm="1">
        <f t="array" ref="AE90">IF(SamplingData[[#This Row],[up/U Selection Probability]] = 0, "Zero", TEXT(SamplingData[[#This Row],[Lower Range]], REPT("0",LEN('General Info'!$B$42))) &amp; " - " &amp; TEXT(SamplingData[[#This Row],[Upper Range]], REPT("0",LEN('General Info'!$B$42))))</f>
        <v>09061 - 09142</v>
      </c>
      <c r="AF90" s="100">
        <f>SamplingData[[#This Row],[Upper Range]]-SamplingData[[#This Row],[Span]]</f>
        <v>9060.8884116231548</v>
      </c>
      <c r="AG90" s="100">
        <f>IF(ISNUMBER('General Info'!$B$42), ((SamplingData[[#This Row],[up/U Selection Probability]]) * 'General Info'!$B$44) - 1, 0)</f>
        <v>81.089486257047014</v>
      </c>
      <c r="AH90" s="100">
        <f>IF(ISNUMBER('General Info'!$B$42), (SamplingData[[#This Row],[Running (cumulative) sum]] * ('General Info'!$B$42 -'General Info'!$B$43 + 1)) + 'General Info'!$B$43 - 1, 0)</f>
        <v>9141.9778978802024</v>
      </c>
      <c r="AI90" s="100" t="str">
        <f>IF(ISERROR(MATCH(SamplingData[[#This Row],[Batch by Type (p)]],SelectedPrecincts[Batch Name], 0)), "", INDEX(SelectedPrecincts[Draw], MATCH(SamplingData[[#This Row],[Batch by Type (p)]],SelectedPrecincts[Batch Name], 0)))</f>
        <v/>
      </c>
      <c r="AJ90" s="101">
        <f>IF(COUNTIF(SelectedPrecincts[Batch Name],SamplingData[[#This Row],[Batch by Type (p)]]) &lt;&gt; 0, COUNTIF(SelectedPrecincts[Batch Name],SamplingData[[#This Row],[Batch by Type (p)]]), 0)</f>
        <v>0</v>
      </c>
    </row>
    <row r="91" spans="1:36" ht="15" customHeight="1" x14ac:dyDescent="0.35">
      <c r="A91" s="98" t="s">
        <v>302</v>
      </c>
      <c r="B91" s="98">
        <v>54</v>
      </c>
      <c r="C91" s="98">
        <v>2</v>
      </c>
      <c r="D91" s="93">
        <v>2</v>
      </c>
      <c r="E91" s="93"/>
      <c r="F91" s="93"/>
      <c r="G91" s="97"/>
      <c r="H91" s="97"/>
      <c r="I91" s="93"/>
      <c r="J91" s="93"/>
      <c r="K91" s="93"/>
      <c r="L91" s="93"/>
      <c r="M91" s="93"/>
      <c r="N91" s="98">
        <v>0</v>
      </c>
      <c r="O91" s="98">
        <v>0</v>
      </c>
      <c r="P91" s="99">
        <f>SUM(SamplingData[[#This Row],[Winning Candidate]:[Under Votes]])</f>
        <v>58</v>
      </c>
      <c r="Q91" s="100">
        <f>IF(AND(SamplingData[[#This Row],[Total]]&lt;&gt; 0, NOT(ISBLANK(SamplingData[[#This Row],[Losing Candidate]]))),(SamplingData[[#This Row],[Total]]+SamplingData[[#This Row],[Winning Candidate]]-SamplingData[[#This Row],[Losing Candidate]])/(SamplingData[[#Totals],[Winning Candidate]]-SamplingData[[#Totals],[Losing Candidate]]), 0)</f>
        <v>6.9527842740661145E-3</v>
      </c>
      <c r="R91" s="100">
        <f>IF(AND(SamplingData[[#This Row],[Total]]&lt;&gt; 0, NOT(ISBLANK(SamplingData[[#This Row],[Candidate 3]]))),(SamplingData[[#This Row],[Total]]+SamplingData[[#This Row],[Winning Candidate]]-SamplingData[[#This Row],[Candidate 3]])/(SamplingData[[#Totals],[Winning Candidate]]-SamplingData[[#Totals],[Candidate 3]]), 0)</f>
        <v>6.209076540979905E-3</v>
      </c>
      <c r="S91" s="100">
        <f>IF(AND(SamplingData[[#This Row],[Total]]&lt;&gt; 0, NOT(ISBLANK(SamplingData[[#This Row],[Candidate 4]]))),(SamplingData[[#This Row],[Total]]+SamplingData[[#This Row],[Winning Candidate]]-SamplingData[[#This Row],[Candidate 4]])/(SamplingData[[#Totals],[Winning Candidate]]-SamplingData[[#Totals],[Candidate 4]]), 0)</f>
        <v>0</v>
      </c>
      <c r="T91" s="100">
        <f>IF(AND(SamplingData[[#This Row],[Total]]&lt;&gt; 0, NOT(ISBLANK(SamplingData[[#This Row],[Candidate 5]]))),(SamplingData[[#This Row],[Total]]+SamplingData[[#This Row],[Winning Candidate]]-SamplingData[[#This Row],[Candidate 5]])/(SamplingData[[#Totals],[Winning Candidate]]-SamplingData[[#Totals],[Candidate 5]]), 0)</f>
        <v>0</v>
      </c>
      <c r="U91" s="100">
        <f>IF(AND(SamplingData[[#This Row],[Total]]&lt;&gt; 0, NOT(ISBLANK(SamplingData[[#This Row],[Candidate 6]]))),(SamplingData[[#This Row],[Total]]+SamplingData[[#This Row],[Losing Candidate]]-SamplingData[[#This Row],[Candidate 6]])/(SamplingData[[#Totals],[Winning Candidate]]-SamplingData[[#Totals],[Candidate 6]]), 0)</f>
        <v>0</v>
      </c>
      <c r="V91" s="100">
        <f>IF(AND(SamplingData[[#This Row],[Total]]&lt;&gt; 0, NOT(ISBLANK(SamplingData[[#This Row],[Candidate 7]]))),(SamplingData[[#This Row],[Total]]+SamplingData[[#This Row],[Winning Candidate]]-SamplingData[[#This Row],[Candidate 7]])/(SamplingData[[#Totals],[Winning Candidate]]-SamplingData[[#Totals],[Candidate 7]]), 0)</f>
        <v>0</v>
      </c>
      <c r="W91" s="100">
        <f>IF(AND(SamplingData[[#This Row],[Total]]&lt;&gt; 0, NOT(ISBLANK(SamplingData[[#This Row],[Candidate 8]]))),(SamplingData[[#This Row],[Total]]+SamplingData[[#This Row],[Winning Candidate]]-SamplingData[[#This Row],[Candidate 8]])/(SamplingData[[#Totals],[Winning Candidate]]-SamplingData[[#Totals],[Candidate 8]]), 0)</f>
        <v>0</v>
      </c>
      <c r="X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1" s="100">
        <f>MAX(SamplingData[[#This Row],[Error Bound (up) - Max. possible relative overstatement - Losing Candidate]:[Error Bound (up) - Max. possible relative overstatement - Candidate 12]])</f>
        <v>6.9527842740661145E-3</v>
      </c>
      <c r="AC91" s="100">
        <f>IF(SamplingData[[#This Row],[Max Error Bound (up)]] = 0,0,SamplingData[[#This Row],[Max Error Bound (up)]]/SamplingData[[#Totals],[Max Error Bound (up)]])</f>
        <v>2.8218260900859907E-3</v>
      </c>
      <c r="AD91" s="104">
        <f>SUM($AC$5:AC91)</f>
        <v>9.4251605068888022E-2</v>
      </c>
      <c r="AE91" s="100" t="str" cm="1">
        <f t="array" ref="AE91">IF(SamplingData[[#This Row],[up/U Selection Probability]] = 0, "Zero", TEXT(SamplingData[[#This Row],[Lower Range]], REPT("0",LEN('General Info'!$B$42))) &amp; " - " &amp; TEXT(SamplingData[[#This Row],[Upper Range]], REPT("0",LEN('General Info'!$B$42))))</f>
        <v>09143 - 09424</v>
      </c>
      <c r="AF91" s="100">
        <f>SamplingData[[#This Row],[Upper Range]]-SamplingData[[#This Row],[Span]]</f>
        <v>9142.9778978802024</v>
      </c>
      <c r="AG91" s="100">
        <f>IF(ISNUMBER('General Info'!$B$42), ((SamplingData[[#This Row],[up/U Selection Probability]]) * 'General Info'!$B$44) - 1, 0)</f>
        <v>281.18260900859906</v>
      </c>
      <c r="AH91" s="100">
        <f>IF(ISNUMBER('General Info'!$B$42), (SamplingData[[#This Row],[Running (cumulative) sum]] * ('General Info'!$B$42 -'General Info'!$B$43 + 1)) + 'General Info'!$B$43 - 1, 0)</f>
        <v>9424.160506888802</v>
      </c>
      <c r="AI91" s="100" t="str">
        <f>IF(ISERROR(MATCH(SamplingData[[#This Row],[Batch by Type (p)]],SelectedPrecincts[Batch Name], 0)), "", INDEX(SelectedPrecincts[Draw], MATCH(SamplingData[[#This Row],[Batch by Type (p)]],SelectedPrecincts[Batch Name], 0)))</f>
        <v/>
      </c>
      <c r="AJ91" s="101">
        <f>IF(COUNTIF(SelectedPrecincts[Batch Name],SamplingData[[#This Row],[Batch by Type (p)]]) &lt;&gt; 0, COUNTIF(SelectedPrecincts[Batch Name],SamplingData[[#This Row],[Batch by Type (p)]]), 0)</f>
        <v>0</v>
      </c>
    </row>
    <row r="92" spans="1:36" ht="15" customHeight="1" x14ac:dyDescent="0.35">
      <c r="A92" s="98" t="s">
        <v>303</v>
      </c>
      <c r="B92" s="98">
        <v>32</v>
      </c>
      <c r="C92" s="98">
        <v>4</v>
      </c>
      <c r="D92" s="93">
        <v>0</v>
      </c>
      <c r="E92" s="93"/>
      <c r="F92" s="93"/>
      <c r="G92" s="97"/>
      <c r="H92" s="97"/>
      <c r="I92" s="93"/>
      <c r="J92" s="93"/>
      <c r="K92" s="93"/>
      <c r="L92" s="93"/>
      <c r="M92" s="93"/>
      <c r="N92" s="98">
        <v>0</v>
      </c>
      <c r="O92" s="98">
        <v>0</v>
      </c>
      <c r="P92" s="99">
        <f>SUM(SamplingData[[#This Row],[Winning Candidate]:[Under Votes]])</f>
        <v>36</v>
      </c>
      <c r="Q92" s="100">
        <f>IF(AND(SamplingData[[#This Row],[Total]]&lt;&gt; 0, NOT(ISBLANK(SamplingData[[#This Row],[Losing Candidate]]))),(SamplingData[[#This Row],[Total]]+SamplingData[[#This Row],[Winning Candidate]]-SamplingData[[#This Row],[Losing Candidate]])/(SamplingData[[#Totals],[Winning Candidate]]-SamplingData[[#Totals],[Losing Candidate]]), 0)</f>
        <v>4.0452563049111941E-3</v>
      </c>
      <c r="R92" s="100">
        <f>IF(AND(SamplingData[[#This Row],[Total]]&lt;&gt; 0, NOT(ISBLANK(SamplingData[[#This Row],[Candidate 3]]))),(SamplingData[[#This Row],[Total]]+SamplingData[[#This Row],[Winning Candidate]]-SamplingData[[#This Row],[Candidate 3]])/(SamplingData[[#Totals],[Winning Candidate]]-SamplingData[[#Totals],[Candidate 3]]), 0)</f>
        <v>3.8383382253330323E-3</v>
      </c>
      <c r="S92" s="100">
        <f>IF(AND(SamplingData[[#This Row],[Total]]&lt;&gt; 0, NOT(ISBLANK(SamplingData[[#This Row],[Candidate 4]]))),(SamplingData[[#This Row],[Total]]+SamplingData[[#This Row],[Winning Candidate]]-SamplingData[[#This Row],[Candidate 4]])/(SamplingData[[#Totals],[Winning Candidate]]-SamplingData[[#Totals],[Candidate 4]]), 0)</f>
        <v>0</v>
      </c>
      <c r="T92" s="100">
        <f>IF(AND(SamplingData[[#This Row],[Total]]&lt;&gt; 0, NOT(ISBLANK(SamplingData[[#This Row],[Candidate 5]]))),(SamplingData[[#This Row],[Total]]+SamplingData[[#This Row],[Winning Candidate]]-SamplingData[[#This Row],[Candidate 5]])/(SamplingData[[#Totals],[Winning Candidate]]-SamplingData[[#Totals],[Candidate 5]]), 0)</f>
        <v>0</v>
      </c>
      <c r="U92" s="100">
        <f>IF(AND(SamplingData[[#This Row],[Total]]&lt;&gt; 0, NOT(ISBLANK(SamplingData[[#This Row],[Candidate 6]]))),(SamplingData[[#This Row],[Total]]+SamplingData[[#This Row],[Losing Candidate]]-SamplingData[[#This Row],[Candidate 6]])/(SamplingData[[#Totals],[Winning Candidate]]-SamplingData[[#Totals],[Candidate 6]]), 0)</f>
        <v>0</v>
      </c>
      <c r="V92" s="100">
        <f>IF(AND(SamplingData[[#This Row],[Total]]&lt;&gt; 0, NOT(ISBLANK(SamplingData[[#This Row],[Candidate 7]]))),(SamplingData[[#This Row],[Total]]+SamplingData[[#This Row],[Winning Candidate]]-SamplingData[[#This Row],[Candidate 7]])/(SamplingData[[#Totals],[Winning Candidate]]-SamplingData[[#Totals],[Candidate 7]]), 0)</f>
        <v>0</v>
      </c>
      <c r="W92" s="100">
        <f>IF(AND(SamplingData[[#This Row],[Total]]&lt;&gt; 0, NOT(ISBLANK(SamplingData[[#This Row],[Candidate 8]]))),(SamplingData[[#This Row],[Total]]+SamplingData[[#This Row],[Winning Candidate]]-SamplingData[[#This Row],[Candidate 8]])/(SamplingData[[#Totals],[Winning Candidate]]-SamplingData[[#Totals],[Candidate 8]]), 0)</f>
        <v>0</v>
      </c>
      <c r="X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2" s="100">
        <f>MAX(SamplingData[[#This Row],[Error Bound (up) - Max. possible relative overstatement - Losing Candidate]:[Error Bound (up) - Max. possible relative overstatement - Candidate 12]])</f>
        <v>4.0452563049111941E-3</v>
      </c>
      <c r="AC92" s="100">
        <f>IF(SamplingData[[#This Row],[Max Error Bound (up)]] = 0,0,SamplingData[[#This Row],[Max Error Bound (up)]]/SamplingData[[#Totals],[Max Error Bound (up)]])</f>
        <v>1.6417897251409402E-3</v>
      </c>
      <c r="AD92" s="104">
        <f>SUM($AC$5:AC92)</f>
        <v>9.589339479402896E-2</v>
      </c>
      <c r="AE92" s="100" t="str" cm="1">
        <f t="array" ref="AE92">IF(SamplingData[[#This Row],[up/U Selection Probability]] = 0, "Zero", TEXT(SamplingData[[#This Row],[Lower Range]], REPT("0",LEN('General Info'!$B$42))) &amp; " - " &amp; TEXT(SamplingData[[#This Row],[Upper Range]], REPT("0",LEN('General Info'!$B$42))))</f>
        <v>09425 - 09588</v>
      </c>
      <c r="AF92" s="100">
        <f>SamplingData[[#This Row],[Upper Range]]-SamplingData[[#This Row],[Span]]</f>
        <v>9425.160506888802</v>
      </c>
      <c r="AG92" s="100">
        <f>IF(ISNUMBER('General Info'!$B$42), ((SamplingData[[#This Row],[up/U Selection Probability]]) * 'General Info'!$B$44) - 1, 0)</f>
        <v>163.17897251409403</v>
      </c>
      <c r="AH92" s="100">
        <f>IF(ISNUMBER('General Info'!$B$42), (SamplingData[[#This Row],[Running (cumulative) sum]] * ('General Info'!$B$42 -'General Info'!$B$43 + 1)) + 'General Info'!$B$43 - 1, 0)</f>
        <v>9588.3394794028954</v>
      </c>
      <c r="AI92" s="100" t="str">
        <f>IF(ISERROR(MATCH(SamplingData[[#This Row],[Batch by Type (p)]],SelectedPrecincts[Batch Name], 0)), "", INDEX(SelectedPrecincts[Draw], MATCH(SamplingData[[#This Row],[Batch by Type (p)]],SelectedPrecincts[Batch Name], 0)))</f>
        <v/>
      </c>
      <c r="AJ92" s="101">
        <f>IF(COUNTIF(SelectedPrecincts[Batch Name],SamplingData[[#This Row],[Batch by Type (p)]]) &lt;&gt; 0, COUNTIF(SelectedPrecincts[Batch Name],SamplingData[[#This Row],[Batch by Type (p)]]), 0)</f>
        <v>0</v>
      </c>
    </row>
    <row r="93" spans="1:36" ht="15" customHeight="1" x14ac:dyDescent="0.35">
      <c r="A93" s="98" t="s">
        <v>304</v>
      </c>
      <c r="B93" s="98">
        <v>21</v>
      </c>
      <c r="C93" s="98">
        <v>0</v>
      </c>
      <c r="D93" s="93">
        <v>0</v>
      </c>
      <c r="E93" s="93"/>
      <c r="F93" s="93"/>
      <c r="G93" s="97"/>
      <c r="H93" s="97"/>
      <c r="I93" s="93"/>
      <c r="J93" s="93"/>
      <c r="K93" s="93"/>
      <c r="L93" s="93"/>
      <c r="M93" s="93"/>
      <c r="N93" s="98">
        <v>0</v>
      </c>
      <c r="O93" s="98">
        <v>0</v>
      </c>
      <c r="P93" s="99">
        <f>SUM(SamplingData[[#This Row],[Winning Candidate]:[Under Votes]])</f>
        <v>21</v>
      </c>
      <c r="Q93" s="100">
        <f>IF(AND(SamplingData[[#This Row],[Total]]&lt;&gt; 0, NOT(ISBLANK(SamplingData[[#This Row],[Losing Candidate]]))),(SamplingData[[#This Row],[Total]]+SamplingData[[#This Row],[Winning Candidate]]-SamplingData[[#This Row],[Losing Candidate]])/(SamplingData[[#Totals],[Winning Candidate]]-SamplingData[[#Totals],[Losing Candidate]]), 0)</f>
        <v>2.654699450097971E-3</v>
      </c>
      <c r="R93" s="100">
        <f>IF(AND(SamplingData[[#This Row],[Total]]&lt;&gt; 0, NOT(ISBLANK(SamplingData[[#This Row],[Candidate 3]]))),(SamplingData[[#This Row],[Total]]+SamplingData[[#This Row],[Winning Candidate]]-SamplingData[[#This Row],[Candidate 3]])/(SamplingData[[#Totals],[Winning Candidate]]-SamplingData[[#Totals],[Candidate 3]]), 0)</f>
        <v>2.3707383156468731E-3</v>
      </c>
      <c r="S93" s="100">
        <f>IF(AND(SamplingData[[#This Row],[Total]]&lt;&gt; 0, NOT(ISBLANK(SamplingData[[#This Row],[Candidate 4]]))),(SamplingData[[#This Row],[Total]]+SamplingData[[#This Row],[Winning Candidate]]-SamplingData[[#This Row],[Candidate 4]])/(SamplingData[[#Totals],[Winning Candidate]]-SamplingData[[#Totals],[Candidate 4]]), 0)</f>
        <v>0</v>
      </c>
      <c r="T93" s="100">
        <f>IF(AND(SamplingData[[#This Row],[Total]]&lt;&gt; 0, NOT(ISBLANK(SamplingData[[#This Row],[Candidate 5]]))),(SamplingData[[#This Row],[Total]]+SamplingData[[#This Row],[Winning Candidate]]-SamplingData[[#This Row],[Candidate 5]])/(SamplingData[[#Totals],[Winning Candidate]]-SamplingData[[#Totals],[Candidate 5]]), 0)</f>
        <v>0</v>
      </c>
      <c r="U93" s="100">
        <f>IF(AND(SamplingData[[#This Row],[Total]]&lt;&gt; 0, NOT(ISBLANK(SamplingData[[#This Row],[Candidate 6]]))),(SamplingData[[#This Row],[Total]]+SamplingData[[#This Row],[Losing Candidate]]-SamplingData[[#This Row],[Candidate 6]])/(SamplingData[[#Totals],[Winning Candidate]]-SamplingData[[#Totals],[Candidate 6]]), 0)</f>
        <v>0</v>
      </c>
      <c r="V93" s="100">
        <f>IF(AND(SamplingData[[#This Row],[Total]]&lt;&gt; 0, NOT(ISBLANK(SamplingData[[#This Row],[Candidate 7]]))),(SamplingData[[#This Row],[Total]]+SamplingData[[#This Row],[Winning Candidate]]-SamplingData[[#This Row],[Candidate 7]])/(SamplingData[[#Totals],[Winning Candidate]]-SamplingData[[#Totals],[Candidate 7]]), 0)</f>
        <v>0</v>
      </c>
      <c r="W93" s="100">
        <f>IF(AND(SamplingData[[#This Row],[Total]]&lt;&gt; 0, NOT(ISBLANK(SamplingData[[#This Row],[Candidate 8]]))),(SamplingData[[#This Row],[Total]]+SamplingData[[#This Row],[Winning Candidate]]-SamplingData[[#This Row],[Candidate 8]])/(SamplingData[[#Totals],[Winning Candidate]]-SamplingData[[#Totals],[Candidate 8]]), 0)</f>
        <v>0</v>
      </c>
      <c r="X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3" s="100">
        <f>MAX(SamplingData[[#This Row],[Error Bound (up) - Max. possible relative overstatement - Losing Candidate]:[Error Bound (up) - Max. possible relative overstatement - Candidate 12]])</f>
        <v>2.654699450097971E-3</v>
      </c>
      <c r="AC93" s="100">
        <f>IF(SamplingData[[#This Row],[Max Error Bound (up)]] = 0,0,SamplingData[[#This Row],[Max Error Bound (up)]]/SamplingData[[#Totals],[Max Error Bound (up)]])</f>
        <v>1.0774245071237419E-3</v>
      </c>
      <c r="AD93" s="104">
        <f>SUM($AC$5:AC93)</f>
        <v>9.69708193011527E-2</v>
      </c>
      <c r="AE93" s="100" t="str" cm="1">
        <f t="array" ref="AE93">IF(SamplingData[[#This Row],[up/U Selection Probability]] = 0, "Zero", TEXT(SamplingData[[#This Row],[Lower Range]], REPT("0",LEN('General Info'!$B$42))) &amp; " - " &amp; TEXT(SamplingData[[#This Row],[Upper Range]], REPT("0",LEN('General Info'!$B$42))))</f>
        <v>09589 - 09696</v>
      </c>
      <c r="AF93" s="100">
        <f>SamplingData[[#This Row],[Upper Range]]-SamplingData[[#This Row],[Span]]</f>
        <v>9589.3394794028954</v>
      </c>
      <c r="AG93" s="100">
        <f>IF(ISNUMBER('General Info'!$B$42), ((SamplingData[[#This Row],[up/U Selection Probability]]) * 'General Info'!$B$44) - 1, 0)</f>
        <v>106.74245071237419</v>
      </c>
      <c r="AH93" s="100">
        <f>IF(ISNUMBER('General Info'!$B$42), (SamplingData[[#This Row],[Running (cumulative) sum]] * ('General Info'!$B$42 -'General Info'!$B$43 + 1)) + 'General Info'!$B$43 - 1, 0)</f>
        <v>9696.0819301152696</v>
      </c>
      <c r="AI93" s="100" t="str">
        <f>IF(ISERROR(MATCH(SamplingData[[#This Row],[Batch by Type (p)]],SelectedPrecincts[Batch Name], 0)), "", INDEX(SelectedPrecincts[Draw], MATCH(SamplingData[[#This Row],[Batch by Type (p)]],SelectedPrecincts[Batch Name], 0)))</f>
        <v/>
      </c>
      <c r="AJ93" s="101">
        <f>IF(COUNTIF(SelectedPrecincts[Batch Name],SamplingData[[#This Row],[Batch by Type (p)]]) &lt;&gt; 0, COUNTIF(SelectedPrecincts[Batch Name],SamplingData[[#This Row],[Batch by Type (p)]]), 0)</f>
        <v>0</v>
      </c>
    </row>
    <row r="94" spans="1:36" ht="15" customHeight="1" x14ac:dyDescent="0.35">
      <c r="A94" s="98" t="s">
        <v>305</v>
      </c>
      <c r="B94" s="98">
        <v>3</v>
      </c>
      <c r="C94" s="98">
        <v>0</v>
      </c>
      <c r="D94" s="93">
        <v>1</v>
      </c>
      <c r="E94" s="93"/>
      <c r="F94" s="93"/>
      <c r="G94" s="97"/>
      <c r="H94" s="97"/>
      <c r="I94" s="93"/>
      <c r="J94" s="93"/>
      <c r="K94" s="93"/>
      <c r="L94" s="93"/>
      <c r="M94" s="93"/>
      <c r="N94" s="98">
        <v>0</v>
      </c>
      <c r="O94" s="98">
        <v>0</v>
      </c>
      <c r="P94" s="99">
        <f>SUM(SamplingData[[#This Row],[Winning Candidate]:[Under Votes]])</f>
        <v>4</v>
      </c>
      <c r="Q94" s="100">
        <f>IF(AND(SamplingData[[#This Row],[Total]]&lt;&gt; 0, NOT(ISBLANK(SamplingData[[#This Row],[Losing Candidate]]))),(SamplingData[[#This Row],[Total]]+SamplingData[[#This Row],[Winning Candidate]]-SamplingData[[#This Row],[Losing Candidate]])/(SamplingData[[#Totals],[Winning Candidate]]-SamplingData[[#Totals],[Losing Candidate]]), 0)</f>
        <v>4.4244990834966185E-4</v>
      </c>
      <c r="R94" s="100">
        <f>IF(AND(SamplingData[[#This Row],[Total]]&lt;&gt; 0, NOT(ISBLANK(SamplingData[[#This Row],[Candidate 3]]))),(SamplingData[[#This Row],[Total]]+SamplingData[[#This Row],[Winning Candidate]]-SamplingData[[#This Row],[Candidate 3]])/(SamplingData[[#Totals],[Winning Candidate]]-SamplingData[[#Totals],[Candidate 3]]), 0)</f>
        <v>3.3867690223526756E-4</v>
      </c>
      <c r="S94" s="100">
        <f>IF(AND(SamplingData[[#This Row],[Total]]&lt;&gt; 0, NOT(ISBLANK(SamplingData[[#This Row],[Candidate 4]]))),(SamplingData[[#This Row],[Total]]+SamplingData[[#This Row],[Winning Candidate]]-SamplingData[[#This Row],[Candidate 4]])/(SamplingData[[#Totals],[Winning Candidate]]-SamplingData[[#Totals],[Candidate 4]]), 0)</f>
        <v>0</v>
      </c>
      <c r="T94" s="100">
        <f>IF(AND(SamplingData[[#This Row],[Total]]&lt;&gt; 0, NOT(ISBLANK(SamplingData[[#This Row],[Candidate 5]]))),(SamplingData[[#This Row],[Total]]+SamplingData[[#This Row],[Winning Candidate]]-SamplingData[[#This Row],[Candidate 5]])/(SamplingData[[#Totals],[Winning Candidate]]-SamplingData[[#Totals],[Candidate 5]]), 0)</f>
        <v>0</v>
      </c>
      <c r="U94" s="100">
        <f>IF(AND(SamplingData[[#This Row],[Total]]&lt;&gt; 0, NOT(ISBLANK(SamplingData[[#This Row],[Candidate 6]]))),(SamplingData[[#This Row],[Total]]+SamplingData[[#This Row],[Losing Candidate]]-SamplingData[[#This Row],[Candidate 6]])/(SamplingData[[#Totals],[Winning Candidate]]-SamplingData[[#Totals],[Candidate 6]]), 0)</f>
        <v>0</v>
      </c>
      <c r="V94" s="100">
        <f>IF(AND(SamplingData[[#This Row],[Total]]&lt;&gt; 0, NOT(ISBLANK(SamplingData[[#This Row],[Candidate 7]]))),(SamplingData[[#This Row],[Total]]+SamplingData[[#This Row],[Winning Candidate]]-SamplingData[[#This Row],[Candidate 7]])/(SamplingData[[#Totals],[Winning Candidate]]-SamplingData[[#Totals],[Candidate 7]]), 0)</f>
        <v>0</v>
      </c>
      <c r="W94" s="100">
        <f>IF(AND(SamplingData[[#This Row],[Total]]&lt;&gt; 0, NOT(ISBLANK(SamplingData[[#This Row],[Candidate 8]]))),(SamplingData[[#This Row],[Total]]+SamplingData[[#This Row],[Winning Candidate]]-SamplingData[[#This Row],[Candidate 8]])/(SamplingData[[#Totals],[Winning Candidate]]-SamplingData[[#Totals],[Candidate 8]]), 0)</f>
        <v>0</v>
      </c>
      <c r="X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4" s="100">
        <f>MAX(SamplingData[[#This Row],[Error Bound (up) - Max. possible relative overstatement - Losing Candidate]:[Error Bound (up) - Max. possible relative overstatement - Candidate 12]])</f>
        <v>4.4244990834966185E-4</v>
      </c>
      <c r="AC94" s="100">
        <f>IF(SamplingData[[#This Row],[Max Error Bound (up)]] = 0,0,SamplingData[[#This Row],[Max Error Bound (up)]]/SamplingData[[#Totals],[Max Error Bound (up)]])</f>
        <v>1.7957075118729031E-4</v>
      </c>
      <c r="AD94" s="104">
        <f>SUM($AC$5:AC94)</f>
        <v>9.7150390052339997E-2</v>
      </c>
      <c r="AE94" s="100" t="str" cm="1">
        <f t="array" ref="AE94">IF(SamplingData[[#This Row],[up/U Selection Probability]] = 0, "Zero", TEXT(SamplingData[[#This Row],[Lower Range]], REPT("0",LEN('General Info'!$B$42))) &amp; " - " &amp; TEXT(SamplingData[[#This Row],[Upper Range]], REPT("0",LEN('General Info'!$B$42))))</f>
        <v>09697 - 09714</v>
      </c>
      <c r="AF94" s="100">
        <f>SamplingData[[#This Row],[Upper Range]]-SamplingData[[#This Row],[Span]]</f>
        <v>9697.0819301152696</v>
      </c>
      <c r="AG94" s="100">
        <f>IF(ISNUMBER('General Info'!$B$42), ((SamplingData[[#This Row],[up/U Selection Probability]]) * 'General Info'!$B$44) - 1, 0)</f>
        <v>16.95707511872903</v>
      </c>
      <c r="AH94" s="100">
        <f>IF(ISNUMBER('General Info'!$B$42), (SamplingData[[#This Row],[Running (cumulative) sum]] * ('General Info'!$B$42 -'General Info'!$B$43 + 1)) + 'General Info'!$B$43 - 1, 0)</f>
        <v>9714.039005233999</v>
      </c>
      <c r="AI94" s="100" t="str">
        <f>IF(ISERROR(MATCH(SamplingData[[#This Row],[Batch by Type (p)]],SelectedPrecincts[Batch Name], 0)), "", INDEX(SelectedPrecincts[Draw], MATCH(SamplingData[[#This Row],[Batch by Type (p)]],SelectedPrecincts[Batch Name], 0)))</f>
        <v/>
      </c>
      <c r="AJ94" s="101">
        <f>IF(COUNTIF(SelectedPrecincts[Batch Name],SamplingData[[#This Row],[Batch by Type (p)]]) &lt;&gt; 0, COUNTIF(SelectedPrecincts[Batch Name],SamplingData[[#This Row],[Batch by Type (p)]]), 0)</f>
        <v>0</v>
      </c>
    </row>
    <row r="95" spans="1:36" ht="15" customHeight="1" x14ac:dyDescent="0.35">
      <c r="A95" s="98" t="s">
        <v>306</v>
      </c>
      <c r="B95" s="98">
        <v>43</v>
      </c>
      <c r="C95" s="98">
        <v>6</v>
      </c>
      <c r="D95" s="93">
        <v>4</v>
      </c>
      <c r="E95" s="93"/>
      <c r="F95" s="93"/>
      <c r="G95" s="97"/>
      <c r="H95" s="97"/>
      <c r="I95" s="93"/>
      <c r="J95" s="93"/>
      <c r="K95" s="93"/>
      <c r="L95" s="93"/>
      <c r="M95" s="93"/>
      <c r="N95" s="98">
        <v>0</v>
      </c>
      <c r="O95" s="98">
        <v>1</v>
      </c>
      <c r="P95" s="99">
        <f>SUM(SamplingData[[#This Row],[Winning Candidate]:[Under Votes]])</f>
        <v>54</v>
      </c>
      <c r="Q95" s="100">
        <f>IF(AND(SamplingData[[#This Row],[Total]]&lt;&gt; 0, NOT(ISBLANK(SamplingData[[#This Row],[Losing Candidate]]))),(SamplingData[[#This Row],[Total]]+SamplingData[[#This Row],[Winning Candidate]]-SamplingData[[#This Row],[Losing Candidate]])/(SamplingData[[#Totals],[Winning Candidate]]-SamplingData[[#Totals],[Losing Candidate]]), 0)</f>
        <v>5.7518488085456041E-3</v>
      </c>
      <c r="R95" s="100">
        <f>IF(AND(SamplingData[[#This Row],[Total]]&lt;&gt; 0, NOT(ISBLANK(SamplingData[[#This Row],[Candidate 3]]))),(SamplingData[[#This Row],[Total]]+SamplingData[[#This Row],[Winning Candidate]]-SamplingData[[#This Row],[Candidate 3]])/(SamplingData[[#Totals],[Winning Candidate]]-SamplingData[[#Totals],[Candidate 3]]), 0)</f>
        <v>5.2494919846466474E-3</v>
      </c>
      <c r="S95" s="100">
        <f>IF(AND(SamplingData[[#This Row],[Total]]&lt;&gt; 0, NOT(ISBLANK(SamplingData[[#This Row],[Candidate 4]]))),(SamplingData[[#This Row],[Total]]+SamplingData[[#This Row],[Winning Candidate]]-SamplingData[[#This Row],[Candidate 4]])/(SamplingData[[#Totals],[Winning Candidate]]-SamplingData[[#Totals],[Candidate 4]]), 0)</f>
        <v>0</v>
      </c>
      <c r="T95" s="100">
        <f>IF(AND(SamplingData[[#This Row],[Total]]&lt;&gt; 0, NOT(ISBLANK(SamplingData[[#This Row],[Candidate 5]]))),(SamplingData[[#This Row],[Total]]+SamplingData[[#This Row],[Winning Candidate]]-SamplingData[[#This Row],[Candidate 5]])/(SamplingData[[#Totals],[Winning Candidate]]-SamplingData[[#Totals],[Candidate 5]]), 0)</f>
        <v>0</v>
      </c>
      <c r="U95" s="100">
        <f>IF(AND(SamplingData[[#This Row],[Total]]&lt;&gt; 0, NOT(ISBLANK(SamplingData[[#This Row],[Candidate 6]]))),(SamplingData[[#This Row],[Total]]+SamplingData[[#This Row],[Losing Candidate]]-SamplingData[[#This Row],[Candidate 6]])/(SamplingData[[#Totals],[Winning Candidate]]-SamplingData[[#Totals],[Candidate 6]]), 0)</f>
        <v>0</v>
      </c>
      <c r="V95" s="100">
        <f>IF(AND(SamplingData[[#This Row],[Total]]&lt;&gt; 0, NOT(ISBLANK(SamplingData[[#This Row],[Candidate 7]]))),(SamplingData[[#This Row],[Total]]+SamplingData[[#This Row],[Winning Candidate]]-SamplingData[[#This Row],[Candidate 7]])/(SamplingData[[#Totals],[Winning Candidate]]-SamplingData[[#Totals],[Candidate 7]]), 0)</f>
        <v>0</v>
      </c>
      <c r="W95" s="100">
        <f>IF(AND(SamplingData[[#This Row],[Total]]&lt;&gt; 0, NOT(ISBLANK(SamplingData[[#This Row],[Candidate 8]]))),(SamplingData[[#This Row],[Total]]+SamplingData[[#This Row],[Winning Candidate]]-SamplingData[[#This Row],[Candidate 8]])/(SamplingData[[#Totals],[Winning Candidate]]-SamplingData[[#Totals],[Candidate 8]]), 0)</f>
        <v>0</v>
      </c>
      <c r="X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5" s="100">
        <f>MAX(SamplingData[[#This Row],[Error Bound (up) - Max. possible relative overstatement - Losing Candidate]:[Error Bound (up) - Max. possible relative overstatement - Candidate 12]])</f>
        <v>5.7518488085456041E-3</v>
      </c>
      <c r="AC95" s="100">
        <f>IF(SamplingData[[#This Row],[Max Error Bound (up)]] = 0,0,SamplingData[[#This Row],[Max Error Bound (up)]]/SamplingData[[#Totals],[Max Error Bound (up)]])</f>
        <v>2.3344197654347741E-3</v>
      </c>
      <c r="AD95" s="104">
        <f>SUM($AC$5:AC95)</f>
        <v>9.9484809817774772E-2</v>
      </c>
      <c r="AE95" s="100" t="str" cm="1">
        <f t="array" ref="AE95">IF(SamplingData[[#This Row],[up/U Selection Probability]] = 0, "Zero", TEXT(SamplingData[[#This Row],[Lower Range]], REPT("0",LEN('General Info'!$B$42))) &amp; " - " &amp; TEXT(SamplingData[[#This Row],[Upper Range]], REPT("0",LEN('General Info'!$B$42))))</f>
        <v>09715 - 09947</v>
      </c>
      <c r="AF95" s="100">
        <f>SamplingData[[#This Row],[Upper Range]]-SamplingData[[#This Row],[Span]]</f>
        <v>9715.039005233999</v>
      </c>
      <c r="AG95" s="100">
        <f>IF(ISNUMBER('General Info'!$B$42), ((SamplingData[[#This Row],[up/U Selection Probability]]) * 'General Info'!$B$44) - 1, 0)</f>
        <v>232.44197654347741</v>
      </c>
      <c r="AH95" s="100">
        <f>IF(ISNUMBER('General Info'!$B$42), (SamplingData[[#This Row],[Running (cumulative) sum]] * ('General Info'!$B$42 -'General Info'!$B$43 + 1)) + 'General Info'!$B$43 - 1, 0)</f>
        <v>9947.4809817774767</v>
      </c>
      <c r="AI95" s="100" t="str">
        <f>IF(ISERROR(MATCH(SamplingData[[#This Row],[Batch by Type (p)]],SelectedPrecincts[Batch Name], 0)), "", INDEX(SelectedPrecincts[Draw], MATCH(SamplingData[[#This Row],[Batch by Type (p)]],SelectedPrecincts[Batch Name], 0)))</f>
        <v/>
      </c>
      <c r="AJ95" s="101">
        <f>IF(COUNTIF(SelectedPrecincts[Batch Name],SamplingData[[#This Row],[Batch by Type (p)]]) &lt;&gt; 0, COUNTIF(SelectedPrecincts[Batch Name],SamplingData[[#This Row],[Batch by Type (p)]]), 0)</f>
        <v>0</v>
      </c>
    </row>
    <row r="96" spans="1:36" ht="15" customHeight="1" x14ac:dyDescent="0.35">
      <c r="A96" s="98" t="s">
        <v>307</v>
      </c>
      <c r="B96" s="98">
        <v>17</v>
      </c>
      <c r="C96" s="98">
        <v>0</v>
      </c>
      <c r="D96" s="93">
        <v>0</v>
      </c>
      <c r="E96" s="93"/>
      <c r="F96" s="93"/>
      <c r="G96" s="97"/>
      <c r="H96" s="97"/>
      <c r="I96" s="93"/>
      <c r="J96" s="93"/>
      <c r="K96" s="93"/>
      <c r="L96" s="93"/>
      <c r="M96" s="93"/>
      <c r="N96" s="98">
        <v>0</v>
      </c>
      <c r="O96" s="98">
        <v>0</v>
      </c>
      <c r="P96" s="99">
        <f>SUM(SamplingData[[#This Row],[Winning Candidate]:[Under Votes]])</f>
        <v>17</v>
      </c>
      <c r="Q96" s="100">
        <f>IF(AND(SamplingData[[#This Row],[Total]]&lt;&gt; 0, NOT(ISBLANK(SamplingData[[#This Row],[Losing Candidate]]))),(SamplingData[[#This Row],[Total]]+SamplingData[[#This Row],[Winning Candidate]]-SamplingData[[#This Row],[Losing Candidate]])/(SamplingData[[#Totals],[Winning Candidate]]-SamplingData[[#Totals],[Losing Candidate]]), 0)</f>
        <v>2.1490424119840717E-3</v>
      </c>
      <c r="R96" s="100">
        <f>IF(AND(SamplingData[[#This Row],[Total]]&lt;&gt; 0, NOT(ISBLANK(SamplingData[[#This Row],[Candidate 3]]))),(SamplingData[[#This Row],[Total]]+SamplingData[[#This Row],[Winning Candidate]]-SamplingData[[#This Row],[Candidate 3]])/(SamplingData[[#Totals],[Winning Candidate]]-SamplingData[[#Totals],[Candidate 3]]), 0)</f>
        <v>1.9191691126665162E-3</v>
      </c>
      <c r="S96" s="100">
        <f>IF(AND(SamplingData[[#This Row],[Total]]&lt;&gt; 0, NOT(ISBLANK(SamplingData[[#This Row],[Candidate 4]]))),(SamplingData[[#This Row],[Total]]+SamplingData[[#This Row],[Winning Candidate]]-SamplingData[[#This Row],[Candidate 4]])/(SamplingData[[#Totals],[Winning Candidate]]-SamplingData[[#Totals],[Candidate 4]]), 0)</f>
        <v>0</v>
      </c>
      <c r="T96" s="100">
        <f>IF(AND(SamplingData[[#This Row],[Total]]&lt;&gt; 0, NOT(ISBLANK(SamplingData[[#This Row],[Candidate 5]]))),(SamplingData[[#This Row],[Total]]+SamplingData[[#This Row],[Winning Candidate]]-SamplingData[[#This Row],[Candidate 5]])/(SamplingData[[#Totals],[Winning Candidate]]-SamplingData[[#Totals],[Candidate 5]]), 0)</f>
        <v>0</v>
      </c>
      <c r="U96" s="100">
        <f>IF(AND(SamplingData[[#This Row],[Total]]&lt;&gt; 0, NOT(ISBLANK(SamplingData[[#This Row],[Candidate 6]]))),(SamplingData[[#This Row],[Total]]+SamplingData[[#This Row],[Losing Candidate]]-SamplingData[[#This Row],[Candidate 6]])/(SamplingData[[#Totals],[Winning Candidate]]-SamplingData[[#Totals],[Candidate 6]]), 0)</f>
        <v>0</v>
      </c>
      <c r="V96" s="100">
        <f>IF(AND(SamplingData[[#This Row],[Total]]&lt;&gt; 0, NOT(ISBLANK(SamplingData[[#This Row],[Candidate 7]]))),(SamplingData[[#This Row],[Total]]+SamplingData[[#This Row],[Winning Candidate]]-SamplingData[[#This Row],[Candidate 7]])/(SamplingData[[#Totals],[Winning Candidate]]-SamplingData[[#Totals],[Candidate 7]]), 0)</f>
        <v>0</v>
      </c>
      <c r="W96" s="100">
        <f>IF(AND(SamplingData[[#This Row],[Total]]&lt;&gt; 0, NOT(ISBLANK(SamplingData[[#This Row],[Candidate 8]]))),(SamplingData[[#This Row],[Total]]+SamplingData[[#This Row],[Winning Candidate]]-SamplingData[[#This Row],[Candidate 8]])/(SamplingData[[#Totals],[Winning Candidate]]-SamplingData[[#Totals],[Candidate 8]]), 0)</f>
        <v>0</v>
      </c>
      <c r="X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6" s="100">
        <f>MAX(SamplingData[[#This Row],[Error Bound (up) - Max. possible relative overstatement - Losing Candidate]:[Error Bound (up) - Max. possible relative overstatement - Candidate 12]])</f>
        <v>2.1490424119840717E-3</v>
      </c>
      <c r="AC96" s="100">
        <f>IF(SamplingData[[#This Row],[Max Error Bound (up)]] = 0,0,SamplingData[[#This Row],[Max Error Bound (up)]]/SamplingData[[#Totals],[Max Error Bound (up)]])</f>
        <v>8.7220079148112441E-4</v>
      </c>
      <c r="AD96" s="104">
        <f>SUM($AC$5:AC96)</f>
        <v>0.10035701060925589</v>
      </c>
      <c r="AE96" s="100" t="str" cm="1">
        <f t="array" ref="AE96">IF(SamplingData[[#This Row],[up/U Selection Probability]] = 0, "Zero", TEXT(SamplingData[[#This Row],[Lower Range]], REPT("0",LEN('General Info'!$B$42))) &amp; " - " &amp; TEXT(SamplingData[[#This Row],[Upper Range]], REPT("0",LEN('General Info'!$B$42))))</f>
        <v>09948 - 10035</v>
      </c>
      <c r="AF96" s="100">
        <f>SamplingData[[#This Row],[Upper Range]]-SamplingData[[#This Row],[Span]]</f>
        <v>9948.4809817774767</v>
      </c>
      <c r="AG96" s="100">
        <f>IF(ISNUMBER('General Info'!$B$42), ((SamplingData[[#This Row],[up/U Selection Probability]]) * 'General Info'!$B$44) - 1, 0)</f>
        <v>86.220079148112447</v>
      </c>
      <c r="AH96" s="100">
        <f>IF(ISNUMBER('General Info'!$B$42), (SamplingData[[#This Row],[Running (cumulative) sum]] * ('General Info'!$B$42 -'General Info'!$B$43 + 1)) + 'General Info'!$B$43 - 1, 0)</f>
        <v>10034.701060925589</v>
      </c>
      <c r="AI96" s="100" t="str">
        <f>IF(ISERROR(MATCH(SamplingData[[#This Row],[Batch by Type (p)]],SelectedPrecincts[Batch Name], 0)), "", INDEX(SelectedPrecincts[Draw], MATCH(SamplingData[[#This Row],[Batch by Type (p)]],SelectedPrecincts[Batch Name], 0)))</f>
        <v/>
      </c>
      <c r="AJ96" s="101">
        <f>IF(COUNTIF(SelectedPrecincts[Batch Name],SamplingData[[#This Row],[Batch by Type (p)]]) &lt;&gt; 0, COUNTIF(SelectedPrecincts[Batch Name],SamplingData[[#This Row],[Batch by Type (p)]]), 0)</f>
        <v>0</v>
      </c>
    </row>
    <row r="97" spans="1:36" ht="15" customHeight="1" x14ac:dyDescent="0.35">
      <c r="A97" s="98" t="s">
        <v>308</v>
      </c>
      <c r="B97" s="98">
        <v>10</v>
      </c>
      <c r="C97" s="98">
        <v>2</v>
      </c>
      <c r="D97" s="93">
        <v>1</v>
      </c>
      <c r="E97" s="93"/>
      <c r="F97" s="93"/>
      <c r="G97" s="97"/>
      <c r="H97" s="97"/>
      <c r="I97" s="93"/>
      <c r="J97" s="93"/>
      <c r="K97" s="93"/>
      <c r="L97" s="93"/>
      <c r="M97" s="93"/>
      <c r="N97" s="98">
        <v>0</v>
      </c>
      <c r="O97" s="98">
        <v>0</v>
      </c>
      <c r="P97" s="99">
        <f>SUM(SamplingData[[#This Row],[Winning Candidate]:[Under Votes]])</f>
        <v>13</v>
      </c>
      <c r="Q97" s="100">
        <f>IF(AND(SamplingData[[#This Row],[Total]]&lt;&gt; 0, NOT(ISBLANK(SamplingData[[#This Row],[Losing Candidate]]))),(SamplingData[[#This Row],[Total]]+SamplingData[[#This Row],[Winning Candidate]]-SamplingData[[#This Row],[Losing Candidate]])/(SamplingData[[#Totals],[Winning Candidate]]-SamplingData[[#Totals],[Losing Candidate]]), 0)</f>
        <v>1.3273497250489855E-3</v>
      </c>
      <c r="R97" s="100">
        <f>IF(AND(SamplingData[[#This Row],[Total]]&lt;&gt; 0, NOT(ISBLANK(SamplingData[[#This Row],[Candidate 3]]))),(SamplingData[[#This Row],[Total]]+SamplingData[[#This Row],[Winning Candidate]]-SamplingData[[#This Row],[Candidate 3]])/(SamplingData[[#Totals],[Winning Candidate]]-SamplingData[[#Totals],[Candidate 3]]), 0)</f>
        <v>1.241815308195981E-3</v>
      </c>
      <c r="S97" s="100">
        <f>IF(AND(SamplingData[[#This Row],[Total]]&lt;&gt; 0, NOT(ISBLANK(SamplingData[[#This Row],[Candidate 4]]))),(SamplingData[[#This Row],[Total]]+SamplingData[[#This Row],[Winning Candidate]]-SamplingData[[#This Row],[Candidate 4]])/(SamplingData[[#Totals],[Winning Candidate]]-SamplingData[[#Totals],[Candidate 4]]), 0)</f>
        <v>0</v>
      </c>
      <c r="T97" s="100">
        <f>IF(AND(SamplingData[[#This Row],[Total]]&lt;&gt; 0, NOT(ISBLANK(SamplingData[[#This Row],[Candidate 5]]))),(SamplingData[[#This Row],[Total]]+SamplingData[[#This Row],[Winning Candidate]]-SamplingData[[#This Row],[Candidate 5]])/(SamplingData[[#Totals],[Winning Candidate]]-SamplingData[[#Totals],[Candidate 5]]), 0)</f>
        <v>0</v>
      </c>
      <c r="U97" s="100">
        <f>IF(AND(SamplingData[[#This Row],[Total]]&lt;&gt; 0, NOT(ISBLANK(SamplingData[[#This Row],[Candidate 6]]))),(SamplingData[[#This Row],[Total]]+SamplingData[[#This Row],[Losing Candidate]]-SamplingData[[#This Row],[Candidate 6]])/(SamplingData[[#Totals],[Winning Candidate]]-SamplingData[[#Totals],[Candidate 6]]), 0)</f>
        <v>0</v>
      </c>
      <c r="V97" s="100">
        <f>IF(AND(SamplingData[[#This Row],[Total]]&lt;&gt; 0, NOT(ISBLANK(SamplingData[[#This Row],[Candidate 7]]))),(SamplingData[[#This Row],[Total]]+SamplingData[[#This Row],[Winning Candidate]]-SamplingData[[#This Row],[Candidate 7]])/(SamplingData[[#Totals],[Winning Candidate]]-SamplingData[[#Totals],[Candidate 7]]), 0)</f>
        <v>0</v>
      </c>
      <c r="W97" s="100">
        <f>IF(AND(SamplingData[[#This Row],[Total]]&lt;&gt; 0, NOT(ISBLANK(SamplingData[[#This Row],[Candidate 8]]))),(SamplingData[[#This Row],[Total]]+SamplingData[[#This Row],[Winning Candidate]]-SamplingData[[#This Row],[Candidate 8]])/(SamplingData[[#Totals],[Winning Candidate]]-SamplingData[[#Totals],[Candidate 8]]), 0)</f>
        <v>0</v>
      </c>
      <c r="X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7" s="100">
        <f>MAX(SamplingData[[#This Row],[Error Bound (up) - Max. possible relative overstatement - Losing Candidate]:[Error Bound (up) - Max. possible relative overstatement - Candidate 12]])</f>
        <v>1.3273497250489855E-3</v>
      </c>
      <c r="AC97" s="100">
        <f>IF(SamplingData[[#This Row],[Max Error Bound (up)]] = 0,0,SamplingData[[#This Row],[Max Error Bound (up)]]/SamplingData[[#Totals],[Max Error Bound (up)]])</f>
        <v>5.3871225356187094E-4</v>
      </c>
      <c r="AD97" s="104">
        <f>SUM($AC$5:AC97)</f>
        <v>0.10089572286281777</v>
      </c>
      <c r="AE97" s="100" t="str" cm="1">
        <f t="array" ref="AE97">IF(SamplingData[[#This Row],[up/U Selection Probability]] = 0, "Zero", TEXT(SamplingData[[#This Row],[Lower Range]], REPT("0",LEN('General Info'!$B$42))) &amp; " - " &amp; TEXT(SamplingData[[#This Row],[Upper Range]], REPT("0",LEN('General Info'!$B$42))))</f>
        <v>10036 - 10089</v>
      </c>
      <c r="AF97" s="100">
        <f>SamplingData[[#This Row],[Upper Range]]-SamplingData[[#This Row],[Span]]</f>
        <v>10035.701060925589</v>
      </c>
      <c r="AG97" s="100">
        <f>IF(ISNUMBER('General Info'!$B$42), ((SamplingData[[#This Row],[up/U Selection Probability]]) * 'General Info'!$B$44) - 1, 0)</f>
        <v>52.871225356187097</v>
      </c>
      <c r="AH97" s="100">
        <f>IF(ISNUMBER('General Info'!$B$42), (SamplingData[[#This Row],[Running (cumulative) sum]] * ('General Info'!$B$42 -'General Info'!$B$43 + 1)) + 'General Info'!$B$43 - 1, 0)</f>
        <v>10088.572286281777</v>
      </c>
      <c r="AI97" s="100" t="str">
        <f>IF(ISERROR(MATCH(SamplingData[[#This Row],[Batch by Type (p)]],SelectedPrecincts[Batch Name], 0)), "", INDEX(SelectedPrecincts[Draw], MATCH(SamplingData[[#This Row],[Batch by Type (p)]],SelectedPrecincts[Batch Name], 0)))</f>
        <v/>
      </c>
      <c r="AJ97" s="101">
        <f>IF(COUNTIF(SelectedPrecincts[Batch Name],SamplingData[[#This Row],[Batch by Type (p)]]) &lt;&gt; 0, COUNTIF(SelectedPrecincts[Batch Name],SamplingData[[#This Row],[Batch by Type (p)]]), 0)</f>
        <v>0</v>
      </c>
    </row>
    <row r="98" spans="1:36" ht="15" customHeight="1" x14ac:dyDescent="0.35">
      <c r="A98" s="98" t="s">
        <v>309</v>
      </c>
      <c r="B98" s="98">
        <v>47</v>
      </c>
      <c r="C98" s="98">
        <v>0</v>
      </c>
      <c r="D98" s="93">
        <v>1</v>
      </c>
      <c r="E98" s="93"/>
      <c r="F98" s="93"/>
      <c r="G98" s="97"/>
      <c r="H98" s="97"/>
      <c r="I98" s="93"/>
      <c r="J98" s="93"/>
      <c r="K98" s="93"/>
      <c r="L98" s="93"/>
      <c r="M98" s="93"/>
      <c r="N98" s="98">
        <v>0</v>
      </c>
      <c r="O98" s="98">
        <v>2</v>
      </c>
      <c r="P98" s="99">
        <f>SUM(SamplingData[[#This Row],[Winning Candidate]:[Under Votes]])</f>
        <v>50</v>
      </c>
      <c r="Q98" s="100">
        <f>IF(AND(SamplingData[[#This Row],[Total]]&lt;&gt; 0, NOT(ISBLANK(SamplingData[[#This Row],[Losing Candidate]]))),(SamplingData[[#This Row],[Total]]+SamplingData[[#This Row],[Winning Candidate]]-SamplingData[[#This Row],[Losing Candidate]])/(SamplingData[[#Totals],[Winning Candidate]]-SamplingData[[#Totals],[Losing Candidate]]), 0)</f>
        <v>6.1310915871310287E-3</v>
      </c>
      <c r="R98" s="100">
        <f>IF(AND(SamplingData[[#This Row],[Total]]&lt;&gt; 0, NOT(ISBLANK(SamplingData[[#This Row],[Candidate 3]]))),(SamplingData[[#This Row],[Total]]+SamplingData[[#This Row],[Winning Candidate]]-SamplingData[[#This Row],[Candidate 3]])/(SamplingData[[#Totals],[Winning Candidate]]-SamplingData[[#Totals],[Candidate 3]]), 0)</f>
        <v>5.4188304357642809E-3</v>
      </c>
      <c r="S98" s="100">
        <f>IF(AND(SamplingData[[#This Row],[Total]]&lt;&gt; 0, NOT(ISBLANK(SamplingData[[#This Row],[Candidate 4]]))),(SamplingData[[#This Row],[Total]]+SamplingData[[#This Row],[Winning Candidate]]-SamplingData[[#This Row],[Candidate 4]])/(SamplingData[[#Totals],[Winning Candidate]]-SamplingData[[#Totals],[Candidate 4]]), 0)</f>
        <v>0</v>
      </c>
      <c r="T98" s="100">
        <f>IF(AND(SamplingData[[#This Row],[Total]]&lt;&gt; 0, NOT(ISBLANK(SamplingData[[#This Row],[Candidate 5]]))),(SamplingData[[#This Row],[Total]]+SamplingData[[#This Row],[Winning Candidate]]-SamplingData[[#This Row],[Candidate 5]])/(SamplingData[[#Totals],[Winning Candidate]]-SamplingData[[#Totals],[Candidate 5]]), 0)</f>
        <v>0</v>
      </c>
      <c r="U98" s="100">
        <f>IF(AND(SamplingData[[#This Row],[Total]]&lt;&gt; 0, NOT(ISBLANK(SamplingData[[#This Row],[Candidate 6]]))),(SamplingData[[#This Row],[Total]]+SamplingData[[#This Row],[Losing Candidate]]-SamplingData[[#This Row],[Candidate 6]])/(SamplingData[[#Totals],[Winning Candidate]]-SamplingData[[#Totals],[Candidate 6]]), 0)</f>
        <v>0</v>
      </c>
      <c r="V98" s="100">
        <f>IF(AND(SamplingData[[#This Row],[Total]]&lt;&gt; 0, NOT(ISBLANK(SamplingData[[#This Row],[Candidate 7]]))),(SamplingData[[#This Row],[Total]]+SamplingData[[#This Row],[Winning Candidate]]-SamplingData[[#This Row],[Candidate 7]])/(SamplingData[[#Totals],[Winning Candidate]]-SamplingData[[#Totals],[Candidate 7]]), 0)</f>
        <v>0</v>
      </c>
      <c r="W98" s="100">
        <f>IF(AND(SamplingData[[#This Row],[Total]]&lt;&gt; 0, NOT(ISBLANK(SamplingData[[#This Row],[Candidate 8]]))),(SamplingData[[#This Row],[Total]]+SamplingData[[#This Row],[Winning Candidate]]-SamplingData[[#This Row],[Candidate 8]])/(SamplingData[[#Totals],[Winning Candidate]]-SamplingData[[#Totals],[Candidate 8]]), 0)</f>
        <v>0</v>
      </c>
      <c r="X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8" s="100">
        <f>MAX(SamplingData[[#This Row],[Error Bound (up) - Max. possible relative overstatement - Losing Candidate]:[Error Bound (up) - Max. possible relative overstatement - Candidate 12]])</f>
        <v>6.1310915871310287E-3</v>
      </c>
      <c r="AC98" s="100">
        <f>IF(SamplingData[[#This Row],[Max Error Bound (up)]] = 0,0,SamplingData[[#This Row],[Max Error Bound (up)]]/SamplingData[[#Totals],[Max Error Bound (up)]])</f>
        <v>2.4883375521667374E-3</v>
      </c>
      <c r="AD98" s="104">
        <f>SUM($AC$5:AC98)</f>
        <v>0.1033840604149845</v>
      </c>
      <c r="AE98" s="100" t="str" cm="1">
        <f t="array" ref="AE98">IF(SamplingData[[#This Row],[up/U Selection Probability]] = 0, "Zero", TEXT(SamplingData[[#This Row],[Lower Range]], REPT("0",LEN('General Info'!$B$42))) &amp; " - " &amp; TEXT(SamplingData[[#This Row],[Upper Range]], REPT("0",LEN('General Info'!$B$42))))</f>
        <v>10090 - 10337</v>
      </c>
      <c r="AF98" s="100">
        <f>SamplingData[[#This Row],[Upper Range]]-SamplingData[[#This Row],[Span]]</f>
        <v>10089.572286281777</v>
      </c>
      <c r="AG98" s="100">
        <f>IF(ISNUMBER('General Info'!$B$42), ((SamplingData[[#This Row],[up/U Selection Probability]]) * 'General Info'!$B$44) - 1, 0)</f>
        <v>247.83375521667375</v>
      </c>
      <c r="AH98" s="100">
        <f>IF(ISNUMBER('General Info'!$B$42), (SamplingData[[#This Row],[Running (cumulative) sum]] * ('General Info'!$B$42 -'General Info'!$B$43 + 1)) + 'General Info'!$B$43 - 1, 0)</f>
        <v>10337.406041498451</v>
      </c>
      <c r="AI98" s="100" t="str">
        <f>IF(ISERROR(MATCH(SamplingData[[#This Row],[Batch by Type (p)]],SelectedPrecincts[Batch Name], 0)), "", INDEX(SelectedPrecincts[Draw], MATCH(SamplingData[[#This Row],[Batch by Type (p)]],SelectedPrecincts[Batch Name], 0)))</f>
        <v/>
      </c>
      <c r="AJ98" s="101">
        <f>IF(COUNTIF(SelectedPrecincts[Batch Name],SamplingData[[#This Row],[Batch by Type (p)]]) &lt;&gt; 0, COUNTIF(SelectedPrecincts[Batch Name],SamplingData[[#This Row],[Batch by Type (p)]]), 0)</f>
        <v>0</v>
      </c>
    </row>
    <row r="99" spans="1:36" ht="15" customHeight="1" x14ac:dyDescent="0.35">
      <c r="A99" s="98" t="s">
        <v>310</v>
      </c>
      <c r="B99" s="98">
        <v>48</v>
      </c>
      <c r="C99" s="98">
        <v>4</v>
      </c>
      <c r="D99" s="93">
        <v>2</v>
      </c>
      <c r="E99" s="93"/>
      <c r="F99" s="93"/>
      <c r="G99" s="97"/>
      <c r="H99" s="97"/>
      <c r="I99" s="93"/>
      <c r="J99" s="93"/>
      <c r="K99" s="93"/>
      <c r="L99" s="93"/>
      <c r="M99" s="93"/>
      <c r="N99" s="98">
        <v>0</v>
      </c>
      <c r="O99" s="98">
        <v>0</v>
      </c>
      <c r="P99" s="99">
        <f>SUM(SamplingData[[#This Row],[Winning Candidate]:[Under Votes]])</f>
        <v>54</v>
      </c>
      <c r="Q99" s="100">
        <f>IF(AND(SamplingData[[#This Row],[Total]]&lt;&gt; 0, NOT(ISBLANK(SamplingData[[#This Row],[Losing Candidate]]))),(SamplingData[[#This Row],[Total]]+SamplingData[[#This Row],[Winning Candidate]]-SamplingData[[#This Row],[Losing Candidate]])/(SamplingData[[#Totals],[Winning Candidate]]-SamplingData[[#Totals],[Losing Candidate]]), 0)</f>
        <v>6.1942987168952654E-3</v>
      </c>
      <c r="R99" s="100">
        <f>IF(AND(SamplingData[[#This Row],[Total]]&lt;&gt; 0, NOT(ISBLANK(SamplingData[[#This Row],[Candidate 3]]))),(SamplingData[[#This Row],[Total]]+SamplingData[[#This Row],[Winning Candidate]]-SamplingData[[#This Row],[Candidate 3]])/(SamplingData[[#Totals],[Winning Candidate]]-SamplingData[[#Totals],[Candidate 3]]), 0)</f>
        <v>5.6446150372544595E-3</v>
      </c>
      <c r="S99" s="100">
        <f>IF(AND(SamplingData[[#This Row],[Total]]&lt;&gt; 0, NOT(ISBLANK(SamplingData[[#This Row],[Candidate 4]]))),(SamplingData[[#This Row],[Total]]+SamplingData[[#This Row],[Winning Candidate]]-SamplingData[[#This Row],[Candidate 4]])/(SamplingData[[#Totals],[Winning Candidate]]-SamplingData[[#Totals],[Candidate 4]]), 0)</f>
        <v>0</v>
      </c>
      <c r="T99" s="100">
        <f>IF(AND(SamplingData[[#This Row],[Total]]&lt;&gt; 0, NOT(ISBLANK(SamplingData[[#This Row],[Candidate 5]]))),(SamplingData[[#This Row],[Total]]+SamplingData[[#This Row],[Winning Candidate]]-SamplingData[[#This Row],[Candidate 5]])/(SamplingData[[#Totals],[Winning Candidate]]-SamplingData[[#Totals],[Candidate 5]]), 0)</f>
        <v>0</v>
      </c>
      <c r="U99" s="100">
        <f>IF(AND(SamplingData[[#This Row],[Total]]&lt;&gt; 0, NOT(ISBLANK(SamplingData[[#This Row],[Candidate 6]]))),(SamplingData[[#This Row],[Total]]+SamplingData[[#This Row],[Losing Candidate]]-SamplingData[[#This Row],[Candidate 6]])/(SamplingData[[#Totals],[Winning Candidate]]-SamplingData[[#Totals],[Candidate 6]]), 0)</f>
        <v>0</v>
      </c>
      <c r="V99" s="100">
        <f>IF(AND(SamplingData[[#This Row],[Total]]&lt;&gt; 0, NOT(ISBLANK(SamplingData[[#This Row],[Candidate 7]]))),(SamplingData[[#This Row],[Total]]+SamplingData[[#This Row],[Winning Candidate]]-SamplingData[[#This Row],[Candidate 7]])/(SamplingData[[#Totals],[Winning Candidate]]-SamplingData[[#Totals],[Candidate 7]]), 0)</f>
        <v>0</v>
      </c>
      <c r="W99" s="100">
        <f>IF(AND(SamplingData[[#This Row],[Total]]&lt;&gt; 0, NOT(ISBLANK(SamplingData[[#This Row],[Candidate 8]]))),(SamplingData[[#This Row],[Total]]+SamplingData[[#This Row],[Winning Candidate]]-SamplingData[[#This Row],[Candidate 8]])/(SamplingData[[#Totals],[Winning Candidate]]-SamplingData[[#Totals],[Candidate 8]]), 0)</f>
        <v>0</v>
      </c>
      <c r="X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9" s="100">
        <f>MAX(SamplingData[[#This Row],[Error Bound (up) - Max. possible relative overstatement - Losing Candidate]:[Error Bound (up) - Max. possible relative overstatement - Candidate 12]])</f>
        <v>6.1942987168952654E-3</v>
      </c>
      <c r="AC99" s="100">
        <f>IF(SamplingData[[#This Row],[Max Error Bound (up)]] = 0,0,SamplingData[[#This Row],[Max Error Bound (up)]]/SamplingData[[#Totals],[Max Error Bound (up)]])</f>
        <v>2.5139905166220644E-3</v>
      </c>
      <c r="AD99" s="104">
        <f>SUM($AC$5:AC99)</f>
        <v>0.10589805093160656</v>
      </c>
      <c r="AE99" s="100" t="str" cm="1">
        <f t="array" ref="AE99">IF(SamplingData[[#This Row],[up/U Selection Probability]] = 0, "Zero", TEXT(SamplingData[[#This Row],[Lower Range]], REPT("0",LEN('General Info'!$B$42))) &amp; " - " &amp; TEXT(SamplingData[[#This Row],[Upper Range]], REPT("0",LEN('General Info'!$B$42))))</f>
        <v>10338 - 10589</v>
      </c>
      <c r="AF99" s="100">
        <f>SamplingData[[#This Row],[Upper Range]]-SamplingData[[#This Row],[Span]]</f>
        <v>10338.406041498449</v>
      </c>
      <c r="AG99" s="100">
        <f>IF(ISNUMBER('General Info'!$B$42), ((SamplingData[[#This Row],[up/U Selection Probability]]) * 'General Info'!$B$44) - 1, 0)</f>
        <v>250.39905166220643</v>
      </c>
      <c r="AH99" s="100">
        <f>IF(ISNUMBER('General Info'!$B$42), (SamplingData[[#This Row],[Running (cumulative) sum]] * ('General Info'!$B$42 -'General Info'!$B$43 + 1)) + 'General Info'!$B$43 - 1, 0)</f>
        <v>10588.805093160656</v>
      </c>
      <c r="AI99" s="100" t="str">
        <f>IF(ISERROR(MATCH(SamplingData[[#This Row],[Batch by Type (p)]],SelectedPrecincts[Batch Name], 0)), "", INDEX(SelectedPrecincts[Draw], MATCH(SamplingData[[#This Row],[Batch by Type (p)]],SelectedPrecincts[Batch Name], 0)))</f>
        <v/>
      </c>
      <c r="AJ99" s="101">
        <f>IF(COUNTIF(SelectedPrecincts[Batch Name],SamplingData[[#This Row],[Batch by Type (p)]]) &lt;&gt; 0, COUNTIF(SelectedPrecincts[Batch Name],SamplingData[[#This Row],[Batch by Type (p)]]), 0)</f>
        <v>0</v>
      </c>
    </row>
    <row r="100" spans="1:36" ht="15" customHeight="1" x14ac:dyDescent="0.35">
      <c r="A100" s="98" t="s">
        <v>311</v>
      </c>
      <c r="B100" s="98">
        <v>34</v>
      </c>
      <c r="C100" s="98">
        <v>0</v>
      </c>
      <c r="D100" s="93">
        <v>2</v>
      </c>
      <c r="E100" s="93"/>
      <c r="F100" s="93"/>
      <c r="G100" s="97"/>
      <c r="H100" s="97"/>
      <c r="I100" s="93"/>
      <c r="J100" s="93"/>
      <c r="K100" s="93"/>
      <c r="L100" s="93"/>
      <c r="M100" s="93"/>
      <c r="N100" s="98">
        <v>0</v>
      </c>
      <c r="O100" s="98">
        <v>2</v>
      </c>
      <c r="P100" s="99">
        <f>SUM(SamplingData[[#This Row],[Winning Candidate]:[Under Votes]])</f>
        <v>38</v>
      </c>
      <c r="Q100" s="100">
        <f>IF(AND(SamplingData[[#This Row],[Total]]&lt;&gt; 0, NOT(ISBLANK(SamplingData[[#This Row],[Losing Candidate]]))),(SamplingData[[#This Row],[Total]]+SamplingData[[#This Row],[Winning Candidate]]-SamplingData[[#This Row],[Losing Candidate]])/(SamplingData[[#Totals],[Winning Candidate]]-SamplingData[[#Totals],[Losing Candidate]]), 0)</f>
        <v>4.5509133430250929E-3</v>
      </c>
      <c r="R100" s="100">
        <f>IF(AND(SamplingData[[#This Row],[Total]]&lt;&gt; 0, NOT(ISBLANK(SamplingData[[#This Row],[Candidate 3]]))),(SamplingData[[#This Row],[Total]]+SamplingData[[#This Row],[Winning Candidate]]-SamplingData[[#This Row],[Candidate 3]])/(SamplingData[[#Totals],[Winning Candidate]]-SamplingData[[#Totals],[Candidate 3]]), 0)</f>
        <v>3.9512305260781212E-3</v>
      </c>
      <c r="S100" s="100">
        <f>IF(AND(SamplingData[[#This Row],[Total]]&lt;&gt; 0, NOT(ISBLANK(SamplingData[[#This Row],[Candidate 4]]))),(SamplingData[[#This Row],[Total]]+SamplingData[[#This Row],[Winning Candidate]]-SamplingData[[#This Row],[Candidate 4]])/(SamplingData[[#Totals],[Winning Candidate]]-SamplingData[[#Totals],[Candidate 4]]), 0)</f>
        <v>0</v>
      </c>
      <c r="T100" s="100">
        <f>IF(AND(SamplingData[[#This Row],[Total]]&lt;&gt; 0, NOT(ISBLANK(SamplingData[[#This Row],[Candidate 5]]))),(SamplingData[[#This Row],[Total]]+SamplingData[[#This Row],[Winning Candidate]]-SamplingData[[#This Row],[Candidate 5]])/(SamplingData[[#Totals],[Winning Candidate]]-SamplingData[[#Totals],[Candidate 5]]), 0)</f>
        <v>0</v>
      </c>
      <c r="U100" s="100">
        <f>IF(AND(SamplingData[[#This Row],[Total]]&lt;&gt; 0, NOT(ISBLANK(SamplingData[[#This Row],[Candidate 6]]))),(SamplingData[[#This Row],[Total]]+SamplingData[[#This Row],[Losing Candidate]]-SamplingData[[#This Row],[Candidate 6]])/(SamplingData[[#Totals],[Winning Candidate]]-SamplingData[[#Totals],[Candidate 6]]), 0)</f>
        <v>0</v>
      </c>
      <c r="V100" s="100">
        <f>IF(AND(SamplingData[[#This Row],[Total]]&lt;&gt; 0, NOT(ISBLANK(SamplingData[[#This Row],[Candidate 7]]))),(SamplingData[[#This Row],[Total]]+SamplingData[[#This Row],[Winning Candidate]]-SamplingData[[#This Row],[Candidate 7]])/(SamplingData[[#Totals],[Winning Candidate]]-SamplingData[[#Totals],[Candidate 7]]), 0)</f>
        <v>0</v>
      </c>
      <c r="W100" s="100">
        <f>IF(AND(SamplingData[[#This Row],[Total]]&lt;&gt; 0, NOT(ISBLANK(SamplingData[[#This Row],[Candidate 8]]))),(SamplingData[[#This Row],[Total]]+SamplingData[[#This Row],[Winning Candidate]]-SamplingData[[#This Row],[Candidate 8]])/(SamplingData[[#Totals],[Winning Candidate]]-SamplingData[[#Totals],[Candidate 8]]), 0)</f>
        <v>0</v>
      </c>
      <c r="X1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0" s="100">
        <f>MAX(SamplingData[[#This Row],[Error Bound (up) - Max. possible relative overstatement - Losing Candidate]:[Error Bound (up) - Max. possible relative overstatement - Candidate 12]])</f>
        <v>4.5509133430250929E-3</v>
      </c>
      <c r="AC100" s="100">
        <f>IF(SamplingData[[#This Row],[Max Error Bound (up)]] = 0,0,SamplingData[[#This Row],[Max Error Bound (up)]]/SamplingData[[#Totals],[Max Error Bound (up)]])</f>
        <v>1.8470134407835574E-3</v>
      </c>
      <c r="AD100" s="104">
        <f>SUM($AC$5:AC100)</f>
        <v>0.10774506437239012</v>
      </c>
      <c r="AE100" s="100" t="str" cm="1">
        <f t="array" ref="AE100">IF(SamplingData[[#This Row],[up/U Selection Probability]] = 0, "Zero", TEXT(SamplingData[[#This Row],[Lower Range]], REPT("0",LEN('General Info'!$B$42))) &amp; " - " &amp; TEXT(SamplingData[[#This Row],[Upper Range]], REPT("0",LEN('General Info'!$B$42))))</f>
        <v>10590 - 10774</v>
      </c>
      <c r="AF100" s="100">
        <f>SamplingData[[#This Row],[Upper Range]]-SamplingData[[#This Row],[Span]]</f>
        <v>10589.805093160656</v>
      </c>
      <c r="AG100" s="100">
        <f>IF(ISNUMBER('General Info'!$B$42), ((SamplingData[[#This Row],[up/U Selection Probability]]) * 'General Info'!$B$44) - 1, 0)</f>
        <v>183.70134407835573</v>
      </c>
      <c r="AH100" s="100">
        <f>IF(ISNUMBER('General Info'!$B$42), (SamplingData[[#This Row],[Running (cumulative) sum]] * ('General Info'!$B$42 -'General Info'!$B$43 + 1)) + 'General Info'!$B$43 - 1, 0)</f>
        <v>10773.506437239012</v>
      </c>
      <c r="AI100" s="100" t="str">
        <f>IF(ISERROR(MATCH(SamplingData[[#This Row],[Batch by Type (p)]],SelectedPrecincts[Batch Name], 0)), "", INDEX(SelectedPrecincts[Draw], MATCH(SamplingData[[#This Row],[Batch by Type (p)]],SelectedPrecincts[Batch Name], 0)))</f>
        <v/>
      </c>
      <c r="AJ100" s="101">
        <f>IF(COUNTIF(SelectedPrecincts[Batch Name],SamplingData[[#This Row],[Batch by Type (p)]]) &lt;&gt; 0, COUNTIF(SelectedPrecincts[Batch Name],SamplingData[[#This Row],[Batch by Type (p)]]), 0)</f>
        <v>0</v>
      </c>
    </row>
    <row r="101" spans="1:36" ht="15" customHeight="1" x14ac:dyDescent="0.35">
      <c r="A101" s="98" t="s">
        <v>312</v>
      </c>
      <c r="B101" s="98">
        <v>32</v>
      </c>
      <c r="C101" s="98">
        <v>6</v>
      </c>
      <c r="D101" s="93">
        <v>0</v>
      </c>
      <c r="E101" s="93"/>
      <c r="F101" s="93"/>
      <c r="G101" s="97"/>
      <c r="H101" s="97"/>
      <c r="I101" s="93"/>
      <c r="J101" s="93"/>
      <c r="K101" s="93"/>
      <c r="L101" s="93"/>
      <c r="M101" s="93"/>
      <c r="N101" s="98">
        <v>0</v>
      </c>
      <c r="O101" s="98">
        <v>0</v>
      </c>
      <c r="P101" s="99">
        <f>SUM(SamplingData[[#This Row],[Winning Candidate]:[Under Votes]])</f>
        <v>38</v>
      </c>
      <c r="Q101" s="100">
        <f>IF(AND(SamplingData[[#This Row],[Total]]&lt;&gt; 0, NOT(ISBLANK(SamplingData[[#This Row],[Losing Candidate]]))),(SamplingData[[#This Row],[Total]]+SamplingData[[#This Row],[Winning Candidate]]-SamplingData[[#This Row],[Losing Candidate]])/(SamplingData[[#Totals],[Winning Candidate]]-SamplingData[[#Totals],[Losing Candidate]]), 0)</f>
        <v>4.0452563049111941E-3</v>
      </c>
      <c r="R101" s="100">
        <f>IF(AND(SamplingData[[#This Row],[Total]]&lt;&gt; 0, NOT(ISBLANK(SamplingData[[#This Row],[Candidate 3]]))),(SamplingData[[#This Row],[Total]]+SamplingData[[#This Row],[Winning Candidate]]-SamplingData[[#This Row],[Candidate 3]])/(SamplingData[[#Totals],[Winning Candidate]]-SamplingData[[#Totals],[Candidate 3]]), 0)</f>
        <v>3.9512305260781212E-3</v>
      </c>
      <c r="S101" s="100">
        <f>IF(AND(SamplingData[[#This Row],[Total]]&lt;&gt; 0, NOT(ISBLANK(SamplingData[[#This Row],[Candidate 4]]))),(SamplingData[[#This Row],[Total]]+SamplingData[[#This Row],[Winning Candidate]]-SamplingData[[#This Row],[Candidate 4]])/(SamplingData[[#Totals],[Winning Candidate]]-SamplingData[[#Totals],[Candidate 4]]), 0)</f>
        <v>0</v>
      </c>
      <c r="T101" s="100">
        <f>IF(AND(SamplingData[[#This Row],[Total]]&lt;&gt; 0, NOT(ISBLANK(SamplingData[[#This Row],[Candidate 5]]))),(SamplingData[[#This Row],[Total]]+SamplingData[[#This Row],[Winning Candidate]]-SamplingData[[#This Row],[Candidate 5]])/(SamplingData[[#Totals],[Winning Candidate]]-SamplingData[[#Totals],[Candidate 5]]), 0)</f>
        <v>0</v>
      </c>
      <c r="U101" s="100">
        <f>IF(AND(SamplingData[[#This Row],[Total]]&lt;&gt; 0, NOT(ISBLANK(SamplingData[[#This Row],[Candidate 6]]))),(SamplingData[[#This Row],[Total]]+SamplingData[[#This Row],[Losing Candidate]]-SamplingData[[#This Row],[Candidate 6]])/(SamplingData[[#Totals],[Winning Candidate]]-SamplingData[[#Totals],[Candidate 6]]), 0)</f>
        <v>0</v>
      </c>
      <c r="V101" s="100">
        <f>IF(AND(SamplingData[[#This Row],[Total]]&lt;&gt; 0, NOT(ISBLANK(SamplingData[[#This Row],[Candidate 7]]))),(SamplingData[[#This Row],[Total]]+SamplingData[[#This Row],[Winning Candidate]]-SamplingData[[#This Row],[Candidate 7]])/(SamplingData[[#Totals],[Winning Candidate]]-SamplingData[[#Totals],[Candidate 7]]), 0)</f>
        <v>0</v>
      </c>
      <c r="W101" s="100">
        <f>IF(AND(SamplingData[[#This Row],[Total]]&lt;&gt; 0, NOT(ISBLANK(SamplingData[[#This Row],[Candidate 8]]))),(SamplingData[[#This Row],[Total]]+SamplingData[[#This Row],[Winning Candidate]]-SamplingData[[#This Row],[Candidate 8]])/(SamplingData[[#Totals],[Winning Candidate]]-SamplingData[[#Totals],[Candidate 8]]), 0)</f>
        <v>0</v>
      </c>
      <c r="X1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1" s="100">
        <f>MAX(SamplingData[[#This Row],[Error Bound (up) - Max. possible relative overstatement - Losing Candidate]:[Error Bound (up) - Max. possible relative overstatement - Candidate 12]])</f>
        <v>4.0452563049111941E-3</v>
      </c>
      <c r="AC101" s="100">
        <f>IF(SamplingData[[#This Row],[Max Error Bound (up)]] = 0,0,SamplingData[[#This Row],[Max Error Bound (up)]]/SamplingData[[#Totals],[Max Error Bound (up)]])</f>
        <v>1.6417897251409402E-3</v>
      </c>
      <c r="AD101" s="104">
        <f>SUM($AC$5:AC101)</f>
        <v>0.10938685409753106</v>
      </c>
      <c r="AE101" s="100" t="str" cm="1">
        <f t="array" ref="AE101">IF(SamplingData[[#This Row],[up/U Selection Probability]] = 0, "Zero", TEXT(SamplingData[[#This Row],[Lower Range]], REPT("0",LEN('General Info'!$B$42))) &amp; " - " &amp; TEXT(SamplingData[[#This Row],[Upper Range]], REPT("0",LEN('General Info'!$B$42))))</f>
        <v>10775 - 10938</v>
      </c>
      <c r="AF101" s="100">
        <f>SamplingData[[#This Row],[Upper Range]]-SamplingData[[#This Row],[Span]]</f>
        <v>10774.506437239012</v>
      </c>
      <c r="AG101" s="100">
        <f>IF(ISNUMBER('General Info'!$B$42), ((SamplingData[[#This Row],[up/U Selection Probability]]) * 'General Info'!$B$44) - 1, 0)</f>
        <v>163.17897251409403</v>
      </c>
      <c r="AH101" s="100">
        <f>IF(ISNUMBER('General Info'!$B$42), (SamplingData[[#This Row],[Running (cumulative) sum]] * ('General Info'!$B$42 -'General Info'!$B$43 + 1)) + 'General Info'!$B$43 - 1, 0)</f>
        <v>10937.685409753105</v>
      </c>
      <c r="AI101" s="100" t="str">
        <f>IF(ISERROR(MATCH(SamplingData[[#This Row],[Batch by Type (p)]],SelectedPrecincts[Batch Name], 0)), "", INDEX(SelectedPrecincts[Draw], MATCH(SamplingData[[#This Row],[Batch by Type (p)]],SelectedPrecincts[Batch Name], 0)))</f>
        <v/>
      </c>
      <c r="AJ101" s="101">
        <f>IF(COUNTIF(SelectedPrecincts[Batch Name],SamplingData[[#This Row],[Batch by Type (p)]]) &lt;&gt; 0, COUNTIF(SelectedPrecincts[Batch Name],SamplingData[[#This Row],[Batch by Type (p)]]), 0)</f>
        <v>0</v>
      </c>
    </row>
    <row r="102" spans="1:36" ht="15" customHeight="1" x14ac:dyDescent="0.35">
      <c r="A102" s="98" t="s">
        <v>313</v>
      </c>
      <c r="B102" s="98">
        <v>48</v>
      </c>
      <c r="C102" s="98">
        <v>3</v>
      </c>
      <c r="D102" s="93">
        <v>0</v>
      </c>
      <c r="E102" s="93"/>
      <c r="F102" s="93"/>
      <c r="G102" s="97"/>
      <c r="H102" s="97"/>
      <c r="I102" s="93"/>
      <c r="J102" s="93"/>
      <c r="K102" s="93"/>
      <c r="L102" s="93"/>
      <c r="M102" s="93"/>
      <c r="N102" s="98">
        <v>0</v>
      </c>
      <c r="O102" s="98">
        <v>0</v>
      </c>
      <c r="P102" s="99">
        <f>SUM(SamplingData[[#This Row],[Winning Candidate]:[Under Votes]])</f>
        <v>51</v>
      </c>
      <c r="Q102" s="100">
        <f>IF(AND(SamplingData[[#This Row],[Total]]&lt;&gt; 0, NOT(ISBLANK(SamplingData[[#This Row],[Losing Candidate]]))),(SamplingData[[#This Row],[Total]]+SamplingData[[#This Row],[Winning Candidate]]-SamplingData[[#This Row],[Losing Candidate]])/(SamplingData[[#Totals],[Winning Candidate]]-SamplingData[[#Totals],[Losing Candidate]]), 0)</f>
        <v>6.0678844573667911E-3</v>
      </c>
      <c r="R102" s="100">
        <f>IF(AND(SamplingData[[#This Row],[Total]]&lt;&gt; 0, NOT(ISBLANK(SamplingData[[#This Row],[Candidate 3]]))),(SamplingData[[#This Row],[Total]]+SamplingData[[#This Row],[Winning Candidate]]-SamplingData[[#This Row],[Candidate 3]])/(SamplingData[[#Totals],[Winning Candidate]]-SamplingData[[#Totals],[Candidate 3]]), 0)</f>
        <v>5.5881688868819144E-3</v>
      </c>
      <c r="S102" s="100">
        <f>IF(AND(SamplingData[[#This Row],[Total]]&lt;&gt; 0, NOT(ISBLANK(SamplingData[[#This Row],[Candidate 4]]))),(SamplingData[[#This Row],[Total]]+SamplingData[[#This Row],[Winning Candidate]]-SamplingData[[#This Row],[Candidate 4]])/(SamplingData[[#Totals],[Winning Candidate]]-SamplingData[[#Totals],[Candidate 4]]), 0)</f>
        <v>0</v>
      </c>
      <c r="T102" s="100">
        <f>IF(AND(SamplingData[[#This Row],[Total]]&lt;&gt; 0, NOT(ISBLANK(SamplingData[[#This Row],[Candidate 5]]))),(SamplingData[[#This Row],[Total]]+SamplingData[[#This Row],[Winning Candidate]]-SamplingData[[#This Row],[Candidate 5]])/(SamplingData[[#Totals],[Winning Candidate]]-SamplingData[[#Totals],[Candidate 5]]), 0)</f>
        <v>0</v>
      </c>
      <c r="U102" s="100">
        <f>IF(AND(SamplingData[[#This Row],[Total]]&lt;&gt; 0, NOT(ISBLANK(SamplingData[[#This Row],[Candidate 6]]))),(SamplingData[[#This Row],[Total]]+SamplingData[[#This Row],[Losing Candidate]]-SamplingData[[#This Row],[Candidate 6]])/(SamplingData[[#Totals],[Winning Candidate]]-SamplingData[[#Totals],[Candidate 6]]), 0)</f>
        <v>0</v>
      </c>
      <c r="V102" s="100">
        <f>IF(AND(SamplingData[[#This Row],[Total]]&lt;&gt; 0, NOT(ISBLANK(SamplingData[[#This Row],[Candidate 7]]))),(SamplingData[[#This Row],[Total]]+SamplingData[[#This Row],[Winning Candidate]]-SamplingData[[#This Row],[Candidate 7]])/(SamplingData[[#Totals],[Winning Candidate]]-SamplingData[[#Totals],[Candidate 7]]), 0)</f>
        <v>0</v>
      </c>
      <c r="W102" s="100">
        <f>IF(AND(SamplingData[[#This Row],[Total]]&lt;&gt; 0, NOT(ISBLANK(SamplingData[[#This Row],[Candidate 8]]))),(SamplingData[[#This Row],[Total]]+SamplingData[[#This Row],[Winning Candidate]]-SamplingData[[#This Row],[Candidate 8]])/(SamplingData[[#Totals],[Winning Candidate]]-SamplingData[[#Totals],[Candidate 8]]), 0)</f>
        <v>0</v>
      </c>
      <c r="X1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2" s="100">
        <f>MAX(SamplingData[[#This Row],[Error Bound (up) - Max. possible relative overstatement - Losing Candidate]:[Error Bound (up) - Max. possible relative overstatement - Candidate 12]])</f>
        <v>6.0678844573667911E-3</v>
      </c>
      <c r="AC102" s="100">
        <f>IF(SamplingData[[#This Row],[Max Error Bound (up)]] = 0,0,SamplingData[[#This Row],[Max Error Bound (up)]]/SamplingData[[#Totals],[Max Error Bound (up)]])</f>
        <v>2.4626845877114101E-3</v>
      </c>
      <c r="AD102" s="104">
        <f>SUM($AC$5:AC102)</f>
        <v>0.11184953868524247</v>
      </c>
      <c r="AE102" s="100" t="str" cm="1">
        <f t="array" ref="AE102">IF(SamplingData[[#This Row],[up/U Selection Probability]] = 0, "Zero", TEXT(SamplingData[[#This Row],[Lower Range]], REPT("0",LEN('General Info'!$B$42))) &amp; " - " &amp; TEXT(SamplingData[[#This Row],[Upper Range]], REPT("0",LEN('General Info'!$B$42))))</f>
        <v>10939 - 11184</v>
      </c>
      <c r="AF102" s="100">
        <f>SamplingData[[#This Row],[Upper Range]]-SamplingData[[#This Row],[Span]]</f>
        <v>10938.685409753107</v>
      </c>
      <c r="AG102" s="100">
        <f>IF(ISNUMBER('General Info'!$B$42), ((SamplingData[[#This Row],[up/U Selection Probability]]) * 'General Info'!$B$44) - 1, 0)</f>
        <v>245.26845877114101</v>
      </c>
      <c r="AH102" s="100">
        <f>IF(ISNUMBER('General Info'!$B$42), (SamplingData[[#This Row],[Running (cumulative) sum]] * ('General Info'!$B$42 -'General Info'!$B$43 + 1)) + 'General Info'!$B$43 - 1, 0)</f>
        <v>11183.953868524248</v>
      </c>
      <c r="AI102" s="100" t="str">
        <f>IF(ISERROR(MATCH(SamplingData[[#This Row],[Batch by Type (p)]],SelectedPrecincts[Batch Name], 0)), "", INDEX(SelectedPrecincts[Draw], MATCH(SamplingData[[#This Row],[Batch by Type (p)]],SelectedPrecincts[Batch Name], 0)))</f>
        <v/>
      </c>
      <c r="AJ102" s="101">
        <f>IF(COUNTIF(SelectedPrecincts[Batch Name],SamplingData[[#This Row],[Batch by Type (p)]]) &lt;&gt; 0, COUNTIF(SelectedPrecincts[Batch Name],SamplingData[[#This Row],[Batch by Type (p)]]), 0)</f>
        <v>0</v>
      </c>
    </row>
    <row r="103" spans="1:36" ht="15" customHeight="1" x14ac:dyDescent="0.35">
      <c r="A103" s="98" t="s">
        <v>314</v>
      </c>
      <c r="B103" s="98">
        <v>31</v>
      </c>
      <c r="C103" s="98">
        <v>2</v>
      </c>
      <c r="D103" s="93">
        <v>2</v>
      </c>
      <c r="E103" s="93"/>
      <c r="F103" s="93"/>
      <c r="G103" s="97"/>
      <c r="H103" s="97"/>
      <c r="I103" s="93"/>
      <c r="J103" s="93"/>
      <c r="K103" s="93"/>
      <c r="L103" s="93"/>
      <c r="M103" s="93"/>
      <c r="N103" s="98">
        <v>0</v>
      </c>
      <c r="O103" s="98">
        <v>0</v>
      </c>
      <c r="P103" s="99">
        <f>SUM(SamplingData[[#This Row],[Winning Candidate]:[Under Votes]])</f>
        <v>35</v>
      </c>
      <c r="Q103" s="100">
        <f>IF(AND(SamplingData[[#This Row],[Total]]&lt;&gt; 0, NOT(ISBLANK(SamplingData[[#This Row],[Losing Candidate]]))),(SamplingData[[#This Row],[Total]]+SamplingData[[#This Row],[Winning Candidate]]-SamplingData[[#This Row],[Losing Candidate]])/(SamplingData[[#Totals],[Winning Candidate]]-SamplingData[[#Totals],[Losing Candidate]]), 0)</f>
        <v>4.0452563049111941E-3</v>
      </c>
      <c r="R103" s="100">
        <f>IF(AND(SamplingData[[#This Row],[Total]]&lt;&gt; 0, NOT(ISBLANK(SamplingData[[#This Row],[Candidate 3]]))),(SamplingData[[#This Row],[Total]]+SamplingData[[#This Row],[Winning Candidate]]-SamplingData[[#This Row],[Candidate 3]])/(SamplingData[[#Totals],[Winning Candidate]]-SamplingData[[#Totals],[Candidate 3]]), 0)</f>
        <v>3.6125536238428538E-3</v>
      </c>
      <c r="S103" s="100">
        <f>IF(AND(SamplingData[[#This Row],[Total]]&lt;&gt; 0, NOT(ISBLANK(SamplingData[[#This Row],[Candidate 4]]))),(SamplingData[[#This Row],[Total]]+SamplingData[[#This Row],[Winning Candidate]]-SamplingData[[#This Row],[Candidate 4]])/(SamplingData[[#Totals],[Winning Candidate]]-SamplingData[[#Totals],[Candidate 4]]), 0)</f>
        <v>0</v>
      </c>
      <c r="T103" s="100">
        <f>IF(AND(SamplingData[[#This Row],[Total]]&lt;&gt; 0, NOT(ISBLANK(SamplingData[[#This Row],[Candidate 5]]))),(SamplingData[[#This Row],[Total]]+SamplingData[[#This Row],[Winning Candidate]]-SamplingData[[#This Row],[Candidate 5]])/(SamplingData[[#Totals],[Winning Candidate]]-SamplingData[[#Totals],[Candidate 5]]), 0)</f>
        <v>0</v>
      </c>
      <c r="U103" s="100">
        <f>IF(AND(SamplingData[[#This Row],[Total]]&lt;&gt; 0, NOT(ISBLANK(SamplingData[[#This Row],[Candidate 6]]))),(SamplingData[[#This Row],[Total]]+SamplingData[[#This Row],[Losing Candidate]]-SamplingData[[#This Row],[Candidate 6]])/(SamplingData[[#Totals],[Winning Candidate]]-SamplingData[[#Totals],[Candidate 6]]), 0)</f>
        <v>0</v>
      </c>
      <c r="V103" s="100">
        <f>IF(AND(SamplingData[[#This Row],[Total]]&lt;&gt; 0, NOT(ISBLANK(SamplingData[[#This Row],[Candidate 7]]))),(SamplingData[[#This Row],[Total]]+SamplingData[[#This Row],[Winning Candidate]]-SamplingData[[#This Row],[Candidate 7]])/(SamplingData[[#Totals],[Winning Candidate]]-SamplingData[[#Totals],[Candidate 7]]), 0)</f>
        <v>0</v>
      </c>
      <c r="W103" s="100">
        <f>IF(AND(SamplingData[[#This Row],[Total]]&lt;&gt; 0, NOT(ISBLANK(SamplingData[[#This Row],[Candidate 8]]))),(SamplingData[[#This Row],[Total]]+SamplingData[[#This Row],[Winning Candidate]]-SamplingData[[#This Row],[Candidate 8]])/(SamplingData[[#Totals],[Winning Candidate]]-SamplingData[[#Totals],[Candidate 8]]), 0)</f>
        <v>0</v>
      </c>
      <c r="X1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3" s="100">
        <f>MAX(SamplingData[[#This Row],[Error Bound (up) - Max. possible relative overstatement - Losing Candidate]:[Error Bound (up) - Max. possible relative overstatement - Candidate 12]])</f>
        <v>4.0452563049111941E-3</v>
      </c>
      <c r="AC103" s="100">
        <f>IF(SamplingData[[#This Row],[Max Error Bound (up)]] = 0,0,SamplingData[[#This Row],[Max Error Bound (up)]]/SamplingData[[#Totals],[Max Error Bound (up)]])</f>
        <v>1.6417897251409402E-3</v>
      </c>
      <c r="AD103" s="104">
        <f>SUM($AC$5:AC103)</f>
        <v>0.11349132841038341</v>
      </c>
      <c r="AE103" s="100" t="str" cm="1">
        <f t="array" ref="AE103">IF(SamplingData[[#This Row],[up/U Selection Probability]] = 0, "Zero", TEXT(SamplingData[[#This Row],[Lower Range]], REPT("0",LEN('General Info'!$B$42))) &amp; " - " &amp; TEXT(SamplingData[[#This Row],[Upper Range]], REPT("0",LEN('General Info'!$B$42))))</f>
        <v>11185 - 11348</v>
      </c>
      <c r="AF103" s="100">
        <f>SamplingData[[#This Row],[Upper Range]]-SamplingData[[#This Row],[Span]]</f>
        <v>11184.953868524248</v>
      </c>
      <c r="AG103" s="100">
        <f>IF(ISNUMBER('General Info'!$B$42), ((SamplingData[[#This Row],[up/U Selection Probability]]) * 'General Info'!$B$44) - 1, 0)</f>
        <v>163.17897251409403</v>
      </c>
      <c r="AH103" s="100">
        <f>IF(ISNUMBER('General Info'!$B$42), (SamplingData[[#This Row],[Running (cumulative) sum]] * ('General Info'!$B$42 -'General Info'!$B$43 + 1)) + 'General Info'!$B$43 - 1, 0)</f>
        <v>11348.132841038341</v>
      </c>
      <c r="AI103" s="100" t="str">
        <f>IF(ISERROR(MATCH(SamplingData[[#This Row],[Batch by Type (p)]],SelectedPrecincts[Batch Name], 0)), "", INDEX(SelectedPrecincts[Draw], MATCH(SamplingData[[#This Row],[Batch by Type (p)]],SelectedPrecincts[Batch Name], 0)))</f>
        <v/>
      </c>
      <c r="AJ103" s="101">
        <f>IF(COUNTIF(SelectedPrecincts[Batch Name],SamplingData[[#This Row],[Batch by Type (p)]]) &lt;&gt; 0, COUNTIF(SelectedPrecincts[Batch Name],SamplingData[[#This Row],[Batch by Type (p)]]), 0)</f>
        <v>0</v>
      </c>
    </row>
    <row r="104" spans="1:36" ht="15" customHeight="1" x14ac:dyDescent="0.35">
      <c r="A104" s="98" t="s">
        <v>315</v>
      </c>
      <c r="B104" s="98">
        <v>15</v>
      </c>
      <c r="C104" s="98">
        <v>2</v>
      </c>
      <c r="D104" s="93">
        <v>0</v>
      </c>
      <c r="E104" s="93"/>
      <c r="F104" s="93"/>
      <c r="G104" s="97"/>
      <c r="H104" s="97"/>
      <c r="I104" s="93"/>
      <c r="J104" s="93"/>
      <c r="K104" s="93"/>
      <c r="L104" s="93"/>
      <c r="M104" s="93"/>
      <c r="N104" s="98">
        <v>0</v>
      </c>
      <c r="O104" s="98">
        <v>1</v>
      </c>
      <c r="P104" s="99">
        <f>SUM(SamplingData[[#This Row],[Winning Candidate]:[Under Votes]])</f>
        <v>18</v>
      </c>
      <c r="Q104" s="100">
        <f>IF(AND(SamplingData[[#This Row],[Total]]&lt;&gt; 0, NOT(ISBLANK(SamplingData[[#This Row],[Losing Candidate]]))),(SamplingData[[#This Row],[Total]]+SamplingData[[#This Row],[Winning Candidate]]-SamplingData[[#This Row],[Losing Candidate]])/(SamplingData[[#Totals],[Winning Candidate]]-SamplingData[[#Totals],[Losing Candidate]]), 0)</f>
        <v>1.9594210226913595E-3</v>
      </c>
      <c r="R104" s="100">
        <f>IF(AND(SamplingData[[#This Row],[Total]]&lt;&gt; 0, NOT(ISBLANK(SamplingData[[#This Row],[Candidate 3]]))),(SamplingData[[#This Row],[Total]]+SamplingData[[#This Row],[Winning Candidate]]-SamplingData[[#This Row],[Candidate 3]])/(SamplingData[[#Totals],[Winning Candidate]]-SamplingData[[#Totals],[Candidate 3]]), 0)</f>
        <v>1.8627229622939715E-3</v>
      </c>
      <c r="S104" s="100">
        <f>IF(AND(SamplingData[[#This Row],[Total]]&lt;&gt; 0, NOT(ISBLANK(SamplingData[[#This Row],[Candidate 4]]))),(SamplingData[[#This Row],[Total]]+SamplingData[[#This Row],[Winning Candidate]]-SamplingData[[#This Row],[Candidate 4]])/(SamplingData[[#Totals],[Winning Candidate]]-SamplingData[[#Totals],[Candidate 4]]), 0)</f>
        <v>0</v>
      </c>
      <c r="T104" s="100">
        <f>IF(AND(SamplingData[[#This Row],[Total]]&lt;&gt; 0, NOT(ISBLANK(SamplingData[[#This Row],[Candidate 5]]))),(SamplingData[[#This Row],[Total]]+SamplingData[[#This Row],[Winning Candidate]]-SamplingData[[#This Row],[Candidate 5]])/(SamplingData[[#Totals],[Winning Candidate]]-SamplingData[[#Totals],[Candidate 5]]), 0)</f>
        <v>0</v>
      </c>
      <c r="U104" s="100">
        <f>IF(AND(SamplingData[[#This Row],[Total]]&lt;&gt; 0, NOT(ISBLANK(SamplingData[[#This Row],[Candidate 6]]))),(SamplingData[[#This Row],[Total]]+SamplingData[[#This Row],[Losing Candidate]]-SamplingData[[#This Row],[Candidate 6]])/(SamplingData[[#Totals],[Winning Candidate]]-SamplingData[[#Totals],[Candidate 6]]), 0)</f>
        <v>0</v>
      </c>
      <c r="V104" s="100">
        <f>IF(AND(SamplingData[[#This Row],[Total]]&lt;&gt; 0, NOT(ISBLANK(SamplingData[[#This Row],[Candidate 7]]))),(SamplingData[[#This Row],[Total]]+SamplingData[[#This Row],[Winning Candidate]]-SamplingData[[#This Row],[Candidate 7]])/(SamplingData[[#Totals],[Winning Candidate]]-SamplingData[[#Totals],[Candidate 7]]), 0)</f>
        <v>0</v>
      </c>
      <c r="W104" s="100">
        <f>IF(AND(SamplingData[[#This Row],[Total]]&lt;&gt; 0, NOT(ISBLANK(SamplingData[[#This Row],[Candidate 8]]))),(SamplingData[[#This Row],[Total]]+SamplingData[[#This Row],[Winning Candidate]]-SamplingData[[#This Row],[Candidate 8]])/(SamplingData[[#Totals],[Winning Candidate]]-SamplingData[[#Totals],[Candidate 8]]), 0)</f>
        <v>0</v>
      </c>
      <c r="X1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4" s="100">
        <f>MAX(SamplingData[[#This Row],[Error Bound (up) - Max. possible relative overstatement - Losing Candidate]:[Error Bound (up) - Max. possible relative overstatement - Candidate 12]])</f>
        <v>1.9594210226913595E-3</v>
      </c>
      <c r="AC104" s="100">
        <f>IF(SamplingData[[#This Row],[Max Error Bound (up)]] = 0,0,SamplingData[[#This Row],[Max Error Bound (up)]]/SamplingData[[#Totals],[Max Error Bound (up)]])</f>
        <v>7.9524189811514283E-4</v>
      </c>
      <c r="AD104" s="104">
        <f>SUM($AC$5:AC104)</f>
        <v>0.11428657030849855</v>
      </c>
      <c r="AE104" s="100" t="str" cm="1">
        <f t="array" ref="AE104">IF(SamplingData[[#This Row],[up/U Selection Probability]] = 0, "Zero", TEXT(SamplingData[[#This Row],[Lower Range]], REPT("0",LEN('General Info'!$B$42))) &amp; " - " &amp; TEXT(SamplingData[[#This Row],[Upper Range]], REPT("0",LEN('General Info'!$B$42))))</f>
        <v>11349 - 11428</v>
      </c>
      <c r="AF104" s="100">
        <f>SamplingData[[#This Row],[Upper Range]]-SamplingData[[#This Row],[Span]]</f>
        <v>11349.132841038341</v>
      </c>
      <c r="AG104" s="100">
        <f>IF(ISNUMBER('General Info'!$B$42), ((SamplingData[[#This Row],[up/U Selection Probability]]) * 'General Info'!$B$44) - 1, 0)</f>
        <v>78.524189811514276</v>
      </c>
      <c r="AH104" s="100">
        <f>IF(ISNUMBER('General Info'!$B$42), (SamplingData[[#This Row],[Running (cumulative) sum]] * ('General Info'!$B$42 -'General Info'!$B$43 + 1)) + 'General Info'!$B$43 - 1, 0)</f>
        <v>11427.657030849856</v>
      </c>
      <c r="AI104" s="100" t="str">
        <f>IF(ISERROR(MATCH(SamplingData[[#This Row],[Batch by Type (p)]],SelectedPrecincts[Batch Name], 0)), "", INDEX(SelectedPrecincts[Draw], MATCH(SamplingData[[#This Row],[Batch by Type (p)]],SelectedPrecincts[Batch Name], 0)))</f>
        <v/>
      </c>
      <c r="AJ104" s="101">
        <f>IF(COUNTIF(SelectedPrecincts[Batch Name],SamplingData[[#This Row],[Batch by Type (p)]]) &lt;&gt; 0, COUNTIF(SelectedPrecincts[Batch Name],SamplingData[[#This Row],[Batch by Type (p)]]), 0)</f>
        <v>0</v>
      </c>
    </row>
    <row r="105" spans="1:36" ht="15" customHeight="1" x14ac:dyDescent="0.35">
      <c r="A105" s="98" t="s">
        <v>316</v>
      </c>
      <c r="B105" s="98">
        <v>40</v>
      </c>
      <c r="C105" s="98">
        <v>3</v>
      </c>
      <c r="D105" s="93">
        <v>0</v>
      </c>
      <c r="E105" s="93"/>
      <c r="F105" s="93"/>
      <c r="G105" s="97"/>
      <c r="H105" s="97"/>
      <c r="I105" s="93"/>
      <c r="J105" s="93"/>
      <c r="K105" s="93"/>
      <c r="L105" s="93"/>
      <c r="M105" s="93"/>
      <c r="N105" s="98">
        <v>0</v>
      </c>
      <c r="O105" s="98">
        <v>0</v>
      </c>
      <c r="P105" s="99">
        <f>SUM(SamplingData[[#This Row],[Winning Candidate]:[Under Votes]])</f>
        <v>43</v>
      </c>
      <c r="Q105"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5.0565703811389926E-3</v>
      </c>
      <c r="R105" s="100">
        <f>IF(AND(SamplingData[[#This Row],[Total]]&lt;&gt; 0, NOT(ISBLANK(SamplingData[[#This Row],[Candidate 3]]))),(SamplingData[[#This Row],[Total]]+SamplingData[[#This Row],[Winning Candidate]]-SamplingData[[#This Row],[Candidate 3]])/(SamplingData[[#Totals],[Winning Candidate]]-SamplingData[[#Totals],[Candidate 3]]), 0)</f>
        <v>4.6850304809212011E-3</v>
      </c>
      <c r="S105" s="100">
        <f>IF(AND(SamplingData[[#This Row],[Total]]&lt;&gt; 0, NOT(ISBLANK(SamplingData[[#This Row],[Candidate 4]]))),(SamplingData[[#This Row],[Total]]+SamplingData[[#This Row],[Winning Candidate]]-SamplingData[[#This Row],[Candidate 4]])/(SamplingData[[#Totals],[Winning Candidate]]-SamplingData[[#Totals],[Candidate 4]]), 0)</f>
        <v>0</v>
      </c>
      <c r="T105" s="100">
        <f>IF(AND(SamplingData[[#This Row],[Total]]&lt;&gt; 0, NOT(ISBLANK(SamplingData[[#This Row],[Candidate 5]]))),(SamplingData[[#This Row],[Total]]+SamplingData[[#This Row],[Winning Candidate]]-SamplingData[[#This Row],[Candidate 5]])/(SamplingData[[#Totals],[Winning Candidate]]-SamplingData[[#Totals],[Candidate 5]]), 0)</f>
        <v>0</v>
      </c>
      <c r="U105" s="100">
        <f>IF(AND(SamplingData[[#This Row],[Total]]&lt;&gt; 0, NOT(ISBLANK(SamplingData[[#This Row],[Candidate 6]]))),(SamplingData[[#This Row],[Total]]+SamplingData[[#This Row],[Losing Candidate]]-SamplingData[[#This Row],[Candidate 6]])/(SamplingData[[#Totals],[Winning Candidate]]-SamplingData[[#Totals],[Candidate 6]]), 0)</f>
        <v>0</v>
      </c>
      <c r="V105" s="100">
        <f>IF(AND(SamplingData[[#This Row],[Total]]&lt;&gt; 0, NOT(ISBLANK(SamplingData[[#This Row],[Candidate 7]]))),(SamplingData[[#This Row],[Total]]+SamplingData[[#This Row],[Winning Candidate]]-SamplingData[[#This Row],[Candidate 7]])/(SamplingData[[#Totals],[Winning Candidate]]-SamplingData[[#Totals],[Candidate 7]]), 0)</f>
        <v>0</v>
      </c>
      <c r="W105" s="100">
        <f>IF(AND(SamplingData[[#This Row],[Total]]&lt;&gt; 0, NOT(ISBLANK(SamplingData[[#This Row],[Candidate 8]]))),(SamplingData[[#This Row],[Total]]+SamplingData[[#This Row],[Winning Candidate]]-SamplingData[[#This Row],[Candidate 8]])/(SamplingData[[#Totals],[Winning Candidate]]-SamplingData[[#Totals],[Candidate 8]]), 0)</f>
        <v>0</v>
      </c>
      <c r="X1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5" s="100">
        <f>MAX(SamplingData[[#This Row],[Error Bound (up) - Max. possible relative overstatement - Losing Candidate]:[Error Bound (up) - Max. possible relative overstatement - Candidate 12]])</f>
        <v>5.0565703811389926E-3</v>
      </c>
      <c r="AC105" s="100">
        <f>IF(SamplingData[[#This Row],[Max Error Bound (up)]] = 0,0,SamplingData[[#This Row],[Max Error Bound (up)]]/SamplingData[[#Totals],[Max Error Bound (up)]])</f>
        <v>2.0522371564261751E-3</v>
      </c>
      <c r="AD105" s="104">
        <f>SUM($AC$5:AC105)</f>
        <v>0.11633880746492473</v>
      </c>
      <c r="AE105" s="100" t="str" cm="1">
        <f t="array" ref="AE105">IF(SamplingData[[#This Row],[up/U Selection Probability]] = 0, "Zero", TEXT(SamplingData[[#This Row],[Lower Range]], REPT("0",LEN('General Info'!$B$42))) &amp; " - " &amp; TEXT(SamplingData[[#This Row],[Upper Range]], REPT("0",LEN('General Info'!$B$42))))</f>
        <v>11429 - 11633</v>
      </c>
      <c r="AF105" s="100">
        <f>SamplingData[[#This Row],[Upper Range]]-SamplingData[[#This Row],[Span]]</f>
        <v>11428.657030849854</v>
      </c>
      <c r="AG105" s="100">
        <f>IF(ISNUMBER('General Info'!$B$42), ((SamplingData[[#This Row],[up/U Selection Probability]]) * 'General Info'!$B$44) - 1, 0)</f>
        <v>204.22371564261752</v>
      </c>
      <c r="AH105" s="100">
        <f>IF(ISNUMBER('General Info'!$B$42), (SamplingData[[#This Row],[Running (cumulative) sum]] * ('General Info'!$B$42 -'General Info'!$B$43 + 1)) + 'General Info'!$B$43 - 1, 0)</f>
        <v>11632.880746492472</v>
      </c>
      <c r="AI105" s="100" t="str">
        <f>IF(ISERROR(MATCH(SamplingData[[#This Row],[Batch by Type (p)]],SelectedPrecincts[Batch Name], 0)), "", INDEX(SelectedPrecincts[Draw], MATCH(SamplingData[[#This Row],[Batch by Type (p)]],SelectedPrecincts[Batch Name], 0)))</f>
        <v/>
      </c>
      <c r="AJ105" s="101">
        <f>IF(COUNTIF(SelectedPrecincts[Batch Name],SamplingData[[#This Row],[Batch by Type (p)]]) &lt;&gt; 0, COUNTIF(SelectedPrecincts[Batch Name],SamplingData[[#This Row],[Batch by Type (p)]]), 0)</f>
        <v>0</v>
      </c>
    </row>
    <row r="106" spans="1:36" ht="15" customHeight="1" x14ac:dyDescent="0.35">
      <c r="A106" s="98" t="s">
        <v>317</v>
      </c>
      <c r="B106" s="98">
        <v>11</v>
      </c>
      <c r="C106" s="98">
        <v>1</v>
      </c>
      <c r="D106" s="93">
        <v>0</v>
      </c>
      <c r="E106" s="93"/>
      <c r="F106" s="93"/>
      <c r="G106" s="97"/>
      <c r="H106" s="97"/>
      <c r="I106" s="93"/>
      <c r="J106" s="93"/>
      <c r="K106" s="93"/>
      <c r="L106" s="93"/>
      <c r="M106" s="93"/>
      <c r="N106" s="98">
        <v>0</v>
      </c>
      <c r="O106" s="98">
        <v>0</v>
      </c>
      <c r="P106" s="99">
        <f>SUM(SamplingData[[#This Row],[Winning Candidate]:[Under Votes]])</f>
        <v>12</v>
      </c>
      <c r="Q106"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106" s="100">
        <f>IF(AND(SamplingData[[#This Row],[Total]]&lt;&gt; 0, NOT(ISBLANK(SamplingData[[#This Row],[Candidate 3]]))),(SamplingData[[#This Row],[Total]]+SamplingData[[#This Row],[Winning Candidate]]-SamplingData[[#This Row],[Candidate 3]])/(SamplingData[[#Totals],[Winning Candidate]]-SamplingData[[#Totals],[Candidate 3]]), 0)</f>
        <v>1.2982614585685256E-3</v>
      </c>
      <c r="S106" s="100">
        <f>IF(AND(SamplingData[[#This Row],[Total]]&lt;&gt; 0, NOT(ISBLANK(SamplingData[[#This Row],[Candidate 4]]))),(SamplingData[[#This Row],[Total]]+SamplingData[[#This Row],[Winning Candidate]]-SamplingData[[#This Row],[Candidate 4]])/(SamplingData[[#Totals],[Winning Candidate]]-SamplingData[[#Totals],[Candidate 4]]), 0)</f>
        <v>0</v>
      </c>
      <c r="T106" s="100">
        <f>IF(AND(SamplingData[[#This Row],[Total]]&lt;&gt; 0, NOT(ISBLANK(SamplingData[[#This Row],[Candidate 5]]))),(SamplingData[[#This Row],[Total]]+SamplingData[[#This Row],[Winning Candidate]]-SamplingData[[#This Row],[Candidate 5]])/(SamplingData[[#Totals],[Winning Candidate]]-SamplingData[[#Totals],[Candidate 5]]), 0)</f>
        <v>0</v>
      </c>
      <c r="U106" s="100">
        <f>IF(AND(SamplingData[[#This Row],[Total]]&lt;&gt; 0, NOT(ISBLANK(SamplingData[[#This Row],[Candidate 6]]))),(SamplingData[[#This Row],[Total]]+SamplingData[[#This Row],[Losing Candidate]]-SamplingData[[#This Row],[Candidate 6]])/(SamplingData[[#Totals],[Winning Candidate]]-SamplingData[[#Totals],[Candidate 6]]), 0)</f>
        <v>0</v>
      </c>
      <c r="V106" s="100">
        <f>IF(AND(SamplingData[[#This Row],[Total]]&lt;&gt; 0, NOT(ISBLANK(SamplingData[[#This Row],[Candidate 7]]))),(SamplingData[[#This Row],[Total]]+SamplingData[[#This Row],[Winning Candidate]]-SamplingData[[#This Row],[Candidate 7]])/(SamplingData[[#Totals],[Winning Candidate]]-SamplingData[[#Totals],[Candidate 7]]), 0)</f>
        <v>0</v>
      </c>
      <c r="W106" s="100">
        <f>IF(AND(SamplingData[[#This Row],[Total]]&lt;&gt; 0, NOT(ISBLANK(SamplingData[[#This Row],[Candidate 8]]))),(SamplingData[[#This Row],[Total]]+SamplingData[[#This Row],[Winning Candidate]]-SamplingData[[#This Row],[Candidate 8]])/(SamplingData[[#Totals],[Winning Candidate]]-SamplingData[[#Totals],[Candidate 8]]), 0)</f>
        <v>0</v>
      </c>
      <c r="X1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6" s="100">
        <f>MAX(SamplingData[[#This Row],[Error Bound (up) - Max. possible relative overstatement - Losing Candidate]:[Error Bound (up) - Max. possible relative overstatement - Candidate 12]])</f>
        <v>1.3905568548132229E-3</v>
      </c>
      <c r="AC106" s="100">
        <f>IF(SamplingData[[#This Row],[Max Error Bound (up)]] = 0,0,SamplingData[[#This Row],[Max Error Bound (up)]]/SamplingData[[#Totals],[Max Error Bound (up)]])</f>
        <v>5.6436521801719809E-4</v>
      </c>
      <c r="AD106" s="104">
        <f>SUM($AC$5:AC106)</f>
        <v>0.11690317268294192</v>
      </c>
      <c r="AE106" s="100" t="str" cm="1">
        <f t="array" ref="AE106">IF(SamplingData[[#This Row],[up/U Selection Probability]] = 0, "Zero", TEXT(SamplingData[[#This Row],[Lower Range]], REPT("0",LEN('General Info'!$B$42))) &amp; " - " &amp; TEXT(SamplingData[[#This Row],[Upper Range]], REPT("0",LEN('General Info'!$B$42))))</f>
        <v>11634 - 11689</v>
      </c>
      <c r="AF106" s="100">
        <f>SamplingData[[#This Row],[Upper Range]]-SamplingData[[#This Row],[Span]]</f>
        <v>11633.880746492474</v>
      </c>
      <c r="AG106" s="100">
        <f>IF(ISNUMBER('General Info'!$B$42), ((SamplingData[[#This Row],[up/U Selection Probability]]) * 'General Info'!$B$44) - 1, 0)</f>
        <v>55.436521801719806</v>
      </c>
      <c r="AH106" s="100">
        <f>IF(ISNUMBER('General Info'!$B$42), (SamplingData[[#This Row],[Running (cumulative) sum]] * ('General Info'!$B$42 -'General Info'!$B$43 + 1)) + 'General Info'!$B$43 - 1, 0)</f>
        <v>11689.317268294193</v>
      </c>
      <c r="AI106" s="100" t="str">
        <f>IF(ISERROR(MATCH(SamplingData[[#This Row],[Batch by Type (p)]],SelectedPrecincts[Batch Name], 0)), "", INDEX(SelectedPrecincts[Draw], MATCH(SamplingData[[#This Row],[Batch by Type (p)]],SelectedPrecincts[Batch Name], 0)))</f>
        <v/>
      </c>
      <c r="AJ106" s="101">
        <f>IF(COUNTIF(SelectedPrecincts[Batch Name],SamplingData[[#This Row],[Batch by Type (p)]]) &lt;&gt; 0, COUNTIF(SelectedPrecincts[Batch Name],SamplingData[[#This Row],[Batch by Type (p)]]), 0)</f>
        <v>0</v>
      </c>
    </row>
    <row r="107" spans="1:36" ht="15" customHeight="1" x14ac:dyDescent="0.35">
      <c r="A107" s="98" t="s">
        <v>318</v>
      </c>
      <c r="B107" s="98">
        <v>23</v>
      </c>
      <c r="C107" s="98">
        <v>2</v>
      </c>
      <c r="D107" s="93">
        <v>2</v>
      </c>
      <c r="E107" s="93"/>
      <c r="F107" s="93"/>
      <c r="G107" s="97"/>
      <c r="H107" s="97"/>
      <c r="I107" s="93"/>
      <c r="J107" s="93"/>
      <c r="K107" s="93"/>
      <c r="L107" s="93"/>
      <c r="M107" s="93"/>
      <c r="N107" s="98">
        <v>1</v>
      </c>
      <c r="O107" s="98">
        <v>1</v>
      </c>
      <c r="P107" s="99">
        <f>SUM(SamplingData[[#This Row],[Winning Candidate]:[Under Votes]])</f>
        <v>29</v>
      </c>
      <c r="Q107" s="100">
        <f>IF(AND(SamplingData[[#This Row],[Total]]&lt;&gt; 0, NOT(ISBLANK(SamplingData[[#This Row],[Losing Candidate]]))),(SamplingData[[#This Row],[Total]]+SamplingData[[#This Row],[Winning Candidate]]-SamplingData[[#This Row],[Losing Candidate]])/(SamplingData[[#Totals],[Winning Candidate]]-SamplingData[[#Totals],[Losing Candidate]]), 0)</f>
        <v>3.1603564882118703E-3</v>
      </c>
      <c r="R107" s="100">
        <f>IF(AND(SamplingData[[#This Row],[Total]]&lt;&gt; 0, NOT(ISBLANK(SamplingData[[#This Row],[Candidate 3]]))),(SamplingData[[#This Row],[Total]]+SamplingData[[#This Row],[Winning Candidate]]-SamplingData[[#This Row],[Candidate 3]])/(SamplingData[[#Totals],[Winning Candidate]]-SamplingData[[#Totals],[Candidate 3]]), 0)</f>
        <v>2.8223075186272297E-3</v>
      </c>
      <c r="S107" s="100">
        <f>IF(AND(SamplingData[[#This Row],[Total]]&lt;&gt; 0, NOT(ISBLANK(SamplingData[[#This Row],[Candidate 4]]))),(SamplingData[[#This Row],[Total]]+SamplingData[[#This Row],[Winning Candidate]]-SamplingData[[#This Row],[Candidate 4]])/(SamplingData[[#Totals],[Winning Candidate]]-SamplingData[[#Totals],[Candidate 4]]), 0)</f>
        <v>0</v>
      </c>
      <c r="T107" s="100">
        <f>IF(AND(SamplingData[[#This Row],[Total]]&lt;&gt; 0, NOT(ISBLANK(SamplingData[[#This Row],[Candidate 5]]))),(SamplingData[[#This Row],[Total]]+SamplingData[[#This Row],[Winning Candidate]]-SamplingData[[#This Row],[Candidate 5]])/(SamplingData[[#Totals],[Winning Candidate]]-SamplingData[[#Totals],[Candidate 5]]), 0)</f>
        <v>0</v>
      </c>
      <c r="U107" s="100">
        <f>IF(AND(SamplingData[[#This Row],[Total]]&lt;&gt; 0, NOT(ISBLANK(SamplingData[[#This Row],[Candidate 6]]))),(SamplingData[[#This Row],[Total]]+SamplingData[[#This Row],[Losing Candidate]]-SamplingData[[#This Row],[Candidate 6]])/(SamplingData[[#Totals],[Winning Candidate]]-SamplingData[[#Totals],[Candidate 6]]), 0)</f>
        <v>0</v>
      </c>
      <c r="V107" s="100">
        <f>IF(AND(SamplingData[[#This Row],[Total]]&lt;&gt; 0, NOT(ISBLANK(SamplingData[[#This Row],[Candidate 7]]))),(SamplingData[[#This Row],[Total]]+SamplingData[[#This Row],[Winning Candidate]]-SamplingData[[#This Row],[Candidate 7]])/(SamplingData[[#Totals],[Winning Candidate]]-SamplingData[[#Totals],[Candidate 7]]), 0)</f>
        <v>0</v>
      </c>
      <c r="W107" s="100">
        <f>IF(AND(SamplingData[[#This Row],[Total]]&lt;&gt; 0, NOT(ISBLANK(SamplingData[[#This Row],[Candidate 8]]))),(SamplingData[[#This Row],[Total]]+SamplingData[[#This Row],[Winning Candidate]]-SamplingData[[#This Row],[Candidate 8]])/(SamplingData[[#Totals],[Winning Candidate]]-SamplingData[[#Totals],[Candidate 8]]), 0)</f>
        <v>0</v>
      </c>
      <c r="X1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7" s="100">
        <f>MAX(SamplingData[[#This Row],[Error Bound (up) - Max. possible relative overstatement - Losing Candidate]:[Error Bound (up) - Max. possible relative overstatement - Candidate 12]])</f>
        <v>3.1603564882118703E-3</v>
      </c>
      <c r="AC107" s="100">
        <f>IF(SamplingData[[#This Row],[Max Error Bound (up)]] = 0,0,SamplingData[[#This Row],[Max Error Bound (up)]]/SamplingData[[#Totals],[Max Error Bound (up)]])</f>
        <v>1.2826482227663593E-3</v>
      </c>
      <c r="AD107" s="104">
        <f>SUM($AC$5:AC107)</f>
        <v>0.11818582090570828</v>
      </c>
      <c r="AE107" s="100" t="str" cm="1">
        <f t="array" ref="AE107">IF(SamplingData[[#This Row],[up/U Selection Probability]] = 0, "Zero", TEXT(SamplingData[[#This Row],[Lower Range]], REPT("0",LEN('General Info'!$B$42))) &amp; " - " &amp; TEXT(SamplingData[[#This Row],[Upper Range]], REPT("0",LEN('General Info'!$B$42))))</f>
        <v>11690 - 11818</v>
      </c>
      <c r="AF107" s="100">
        <f>SamplingData[[#This Row],[Upper Range]]-SamplingData[[#This Row],[Span]]</f>
        <v>11690.317268294191</v>
      </c>
      <c r="AG107" s="100">
        <f>IF(ISNUMBER('General Info'!$B$42), ((SamplingData[[#This Row],[up/U Selection Probability]]) * 'General Info'!$B$44) - 1, 0)</f>
        <v>127.26482227663593</v>
      </c>
      <c r="AH107" s="100">
        <f>IF(ISNUMBER('General Info'!$B$42), (SamplingData[[#This Row],[Running (cumulative) sum]] * ('General Info'!$B$42 -'General Info'!$B$43 + 1)) + 'General Info'!$B$43 - 1, 0)</f>
        <v>11817.582090570828</v>
      </c>
      <c r="AI107" s="100" t="str">
        <f>IF(ISERROR(MATCH(SamplingData[[#This Row],[Batch by Type (p)]],SelectedPrecincts[Batch Name], 0)), "", INDEX(SelectedPrecincts[Draw], MATCH(SamplingData[[#This Row],[Batch by Type (p)]],SelectedPrecincts[Batch Name], 0)))</f>
        <v/>
      </c>
      <c r="AJ107" s="101">
        <f>IF(COUNTIF(SelectedPrecincts[Batch Name],SamplingData[[#This Row],[Batch by Type (p)]]) &lt;&gt; 0, COUNTIF(SelectedPrecincts[Batch Name],SamplingData[[#This Row],[Batch by Type (p)]]), 0)</f>
        <v>0</v>
      </c>
    </row>
    <row r="108" spans="1:36" ht="15" customHeight="1" x14ac:dyDescent="0.35">
      <c r="A108" s="98" t="s">
        <v>319</v>
      </c>
      <c r="B108" s="98">
        <v>27</v>
      </c>
      <c r="C108" s="98">
        <v>0</v>
      </c>
      <c r="D108" s="93">
        <v>0</v>
      </c>
      <c r="E108" s="93"/>
      <c r="F108" s="93"/>
      <c r="G108" s="97"/>
      <c r="H108" s="97"/>
      <c r="I108" s="93"/>
      <c r="J108" s="93"/>
      <c r="K108" s="93"/>
      <c r="L108" s="93"/>
      <c r="M108" s="93"/>
      <c r="N108" s="98">
        <v>1</v>
      </c>
      <c r="O108" s="98">
        <v>0</v>
      </c>
      <c r="P108" s="99">
        <f>SUM(SamplingData[[#This Row],[Winning Candidate]:[Under Votes]])</f>
        <v>28</v>
      </c>
      <c r="Q108" s="100">
        <f>IF(AND(SamplingData[[#This Row],[Total]]&lt;&gt; 0, NOT(ISBLANK(SamplingData[[#This Row],[Losing Candidate]]))),(SamplingData[[#This Row],[Total]]+SamplingData[[#This Row],[Winning Candidate]]-SamplingData[[#This Row],[Losing Candidate]])/(SamplingData[[#Totals],[Winning Candidate]]-SamplingData[[#Totals],[Losing Candidate]]), 0)</f>
        <v>3.4763921370330572E-3</v>
      </c>
      <c r="R108" s="100">
        <f>IF(AND(SamplingData[[#This Row],[Total]]&lt;&gt; 0, NOT(ISBLANK(SamplingData[[#This Row],[Candidate 3]]))),(SamplingData[[#This Row],[Total]]+SamplingData[[#This Row],[Winning Candidate]]-SamplingData[[#This Row],[Candidate 3]])/(SamplingData[[#Totals],[Winning Candidate]]-SamplingData[[#Totals],[Candidate 3]]), 0)</f>
        <v>3.1045382704899525E-3</v>
      </c>
      <c r="S108" s="100">
        <f>IF(AND(SamplingData[[#This Row],[Total]]&lt;&gt; 0, NOT(ISBLANK(SamplingData[[#This Row],[Candidate 4]]))),(SamplingData[[#This Row],[Total]]+SamplingData[[#This Row],[Winning Candidate]]-SamplingData[[#This Row],[Candidate 4]])/(SamplingData[[#Totals],[Winning Candidate]]-SamplingData[[#Totals],[Candidate 4]]), 0)</f>
        <v>0</v>
      </c>
      <c r="T108" s="100">
        <f>IF(AND(SamplingData[[#This Row],[Total]]&lt;&gt; 0, NOT(ISBLANK(SamplingData[[#This Row],[Candidate 5]]))),(SamplingData[[#This Row],[Total]]+SamplingData[[#This Row],[Winning Candidate]]-SamplingData[[#This Row],[Candidate 5]])/(SamplingData[[#Totals],[Winning Candidate]]-SamplingData[[#Totals],[Candidate 5]]), 0)</f>
        <v>0</v>
      </c>
      <c r="U108" s="100">
        <f>IF(AND(SamplingData[[#This Row],[Total]]&lt;&gt; 0, NOT(ISBLANK(SamplingData[[#This Row],[Candidate 6]]))),(SamplingData[[#This Row],[Total]]+SamplingData[[#This Row],[Losing Candidate]]-SamplingData[[#This Row],[Candidate 6]])/(SamplingData[[#Totals],[Winning Candidate]]-SamplingData[[#Totals],[Candidate 6]]), 0)</f>
        <v>0</v>
      </c>
      <c r="V108" s="100">
        <f>IF(AND(SamplingData[[#This Row],[Total]]&lt;&gt; 0, NOT(ISBLANK(SamplingData[[#This Row],[Candidate 7]]))),(SamplingData[[#This Row],[Total]]+SamplingData[[#This Row],[Winning Candidate]]-SamplingData[[#This Row],[Candidate 7]])/(SamplingData[[#Totals],[Winning Candidate]]-SamplingData[[#Totals],[Candidate 7]]), 0)</f>
        <v>0</v>
      </c>
      <c r="W108" s="100">
        <f>IF(AND(SamplingData[[#This Row],[Total]]&lt;&gt; 0, NOT(ISBLANK(SamplingData[[#This Row],[Candidate 8]]))),(SamplingData[[#This Row],[Total]]+SamplingData[[#This Row],[Winning Candidate]]-SamplingData[[#This Row],[Candidate 8]])/(SamplingData[[#Totals],[Winning Candidate]]-SamplingData[[#Totals],[Candidate 8]]), 0)</f>
        <v>0</v>
      </c>
      <c r="X1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8" s="100">
        <f>MAX(SamplingData[[#This Row],[Error Bound (up) - Max. possible relative overstatement - Losing Candidate]:[Error Bound (up) - Max. possible relative overstatement - Candidate 12]])</f>
        <v>3.4763921370330572E-3</v>
      </c>
      <c r="AC108" s="100">
        <f>IF(SamplingData[[#This Row],[Max Error Bound (up)]] = 0,0,SamplingData[[#This Row],[Max Error Bound (up)]]/SamplingData[[#Totals],[Max Error Bound (up)]])</f>
        <v>1.4109130450429953E-3</v>
      </c>
      <c r="AD108" s="104">
        <f>SUM($AC$5:AC108)</f>
        <v>0.11959673395075128</v>
      </c>
      <c r="AE108" s="100" t="str" cm="1">
        <f t="array" ref="AE108">IF(SamplingData[[#This Row],[up/U Selection Probability]] = 0, "Zero", TEXT(SamplingData[[#This Row],[Lower Range]], REPT("0",LEN('General Info'!$B$42))) &amp; " - " &amp; TEXT(SamplingData[[#This Row],[Upper Range]], REPT("0",LEN('General Info'!$B$42))))</f>
        <v>11819 - 11959</v>
      </c>
      <c r="AF108" s="100">
        <f>SamplingData[[#This Row],[Upper Range]]-SamplingData[[#This Row],[Span]]</f>
        <v>11818.582090570828</v>
      </c>
      <c r="AG108" s="100">
        <f>IF(ISNUMBER('General Info'!$B$42), ((SamplingData[[#This Row],[up/U Selection Probability]]) * 'General Info'!$B$44) - 1, 0)</f>
        <v>140.09130450429953</v>
      </c>
      <c r="AH108" s="100">
        <f>IF(ISNUMBER('General Info'!$B$42), (SamplingData[[#This Row],[Running (cumulative) sum]] * ('General Info'!$B$42 -'General Info'!$B$43 + 1)) + 'General Info'!$B$43 - 1, 0)</f>
        <v>11958.673395075128</v>
      </c>
      <c r="AI108" s="100" t="str">
        <f>IF(ISERROR(MATCH(SamplingData[[#This Row],[Batch by Type (p)]],SelectedPrecincts[Batch Name], 0)), "", INDEX(SelectedPrecincts[Draw], MATCH(SamplingData[[#This Row],[Batch by Type (p)]],SelectedPrecincts[Batch Name], 0)))</f>
        <v/>
      </c>
      <c r="AJ108" s="101">
        <f>IF(COUNTIF(SelectedPrecincts[Batch Name],SamplingData[[#This Row],[Batch by Type (p)]]) &lt;&gt; 0, COUNTIF(SelectedPrecincts[Batch Name],SamplingData[[#This Row],[Batch by Type (p)]]), 0)</f>
        <v>0</v>
      </c>
    </row>
    <row r="109" spans="1:36" ht="15" customHeight="1" x14ac:dyDescent="0.35">
      <c r="A109" s="98" t="s">
        <v>320</v>
      </c>
      <c r="B109" s="98">
        <v>36</v>
      </c>
      <c r="C109" s="98">
        <v>1</v>
      </c>
      <c r="D109" s="93">
        <v>0</v>
      </c>
      <c r="E109" s="93"/>
      <c r="F109" s="93"/>
      <c r="G109" s="97"/>
      <c r="H109" s="97"/>
      <c r="I109" s="93"/>
      <c r="J109" s="93"/>
      <c r="K109" s="93"/>
      <c r="L109" s="93"/>
      <c r="M109" s="93"/>
      <c r="N109" s="98">
        <v>0</v>
      </c>
      <c r="O109" s="98">
        <v>0</v>
      </c>
      <c r="P109" s="99">
        <f>SUM(SamplingData[[#This Row],[Winning Candidate]:[Under Votes]])</f>
        <v>37</v>
      </c>
      <c r="Q109" s="100">
        <f>IF(AND(SamplingData[[#This Row],[Total]]&lt;&gt; 0, NOT(ISBLANK(SamplingData[[#This Row],[Losing Candidate]]))),(SamplingData[[#This Row],[Total]]+SamplingData[[#This Row],[Winning Candidate]]-SamplingData[[#This Row],[Losing Candidate]])/(SamplingData[[#Totals],[Winning Candidate]]-SamplingData[[#Totals],[Losing Candidate]]), 0)</f>
        <v>4.5509133430250929E-3</v>
      </c>
      <c r="R109" s="100">
        <f>IF(AND(SamplingData[[#This Row],[Total]]&lt;&gt; 0, NOT(ISBLANK(SamplingData[[#This Row],[Candidate 3]]))),(SamplingData[[#This Row],[Total]]+SamplingData[[#This Row],[Winning Candidate]]-SamplingData[[#This Row],[Candidate 3]])/(SamplingData[[#Totals],[Winning Candidate]]-SamplingData[[#Totals],[Candidate 3]]), 0)</f>
        <v>4.1205689771957555E-3</v>
      </c>
      <c r="S109" s="100">
        <f>IF(AND(SamplingData[[#This Row],[Total]]&lt;&gt; 0, NOT(ISBLANK(SamplingData[[#This Row],[Candidate 4]]))),(SamplingData[[#This Row],[Total]]+SamplingData[[#This Row],[Winning Candidate]]-SamplingData[[#This Row],[Candidate 4]])/(SamplingData[[#Totals],[Winning Candidate]]-SamplingData[[#Totals],[Candidate 4]]), 0)</f>
        <v>0</v>
      </c>
      <c r="T109" s="100">
        <f>IF(AND(SamplingData[[#This Row],[Total]]&lt;&gt; 0, NOT(ISBLANK(SamplingData[[#This Row],[Candidate 5]]))),(SamplingData[[#This Row],[Total]]+SamplingData[[#This Row],[Winning Candidate]]-SamplingData[[#This Row],[Candidate 5]])/(SamplingData[[#Totals],[Winning Candidate]]-SamplingData[[#Totals],[Candidate 5]]), 0)</f>
        <v>0</v>
      </c>
      <c r="U109" s="100">
        <f>IF(AND(SamplingData[[#This Row],[Total]]&lt;&gt; 0, NOT(ISBLANK(SamplingData[[#This Row],[Candidate 6]]))),(SamplingData[[#This Row],[Total]]+SamplingData[[#This Row],[Losing Candidate]]-SamplingData[[#This Row],[Candidate 6]])/(SamplingData[[#Totals],[Winning Candidate]]-SamplingData[[#Totals],[Candidate 6]]), 0)</f>
        <v>0</v>
      </c>
      <c r="V109" s="100">
        <f>IF(AND(SamplingData[[#This Row],[Total]]&lt;&gt; 0, NOT(ISBLANK(SamplingData[[#This Row],[Candidate 7]]))),(SamplingData[[#This Row],[Total]]+SamplingData[[#This Row],[Winning Candidate]]-SamplingData[[#This Row],[Candidate 7]])/(SamplingData[[#Totals],[Winning Candidate]]-SamplingData[[#Totals],[Candidate 7]]), 0)</f>
        <v>0</v>
      </c>
      <c r="W109" s="100">
        <f>IF(AND(SamplingData[[#This Row],[Total]]&lt;&gt; 0, NOT(ISBLANK(SamplingData[[#This Row],[Candidate 8]]))),(SamplingData[[#This Row],[Total]]+SamplingData[[#This Row],[Winning Candidate]]-SamplingData[[#This Row],[Candidate 8]])/(SamplingData[[#Totals],[Winning Candidate]]-SamplingData[[#Totals],[Candidate 8]]), 0)</f>
        <v>0</v>
      </c>
      <c r="X1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9" s="100">
        <f>MAX(SamplingData[[#This Row],[Error Bound (up) - Max. possible relative overstatement - Losing Candidate]:[Error Bound (up) - Max. possible relative overstatement - Candidate 12]])</f>
        <v>4.5509133430250929E-3</v>
      </c>
      <c r="AC109" s="100">
        <f>IF(SamplingData[[#This Row],[Max Error Bound (up)]] = 0,0,SamplingData[[#This Row],[Max Error Bound (up)]]/SamplingData[[#Totals],[Max Error Bound (up)]])</f>
        <v>1.8470134407835574E-3</v>
      </c>
      <c r="AD109" s="104">
        <f>SUM($AC$5:AC109)</f>
        <v>0.12144374739153484</v>
      </c>
      <c r="AE109" s="100" t="str" cm="1">
        <f t="array" ref="AE109">IF(SamplingData[[#This Row],[up/U Selection Probability]] = 0, "Zero", TEXT(SamplingData[[#This Row],[Lower Range]], REPT("0",LEN('General Info'!$B$42))) &amp; " - " &amp; TEXT(SamplingData[[#This Row],[Upper Range]], REPT("0",LEN('General Info'!$B$42))))</f>
        <v>11960 - 12143</v>
      </c>
      <c r="AF109" s="100">
        <f>SamplingData[[#This Row],[Upper Range]]-SamplingData[[#This Row],[Span]]</f>
        <v>11959.673395075128</v>
      </c>
      <c r="AG109" s="100">
        <f>IF(ISNUMBER('General Info'!$B$42), ((SamplingData[[#This Row],[up/U Selection Probability]]) * 'General Info'!$B$44) - 1, 0)</f>
        <v>183.70134407835573</v>
      </c>
      <c r="AH109" s="100">
        <f>IF(ISNUMBER('General Info'!$B$42), (SamplingData[[#This Row],[Running (cumulative) sum]] * ('General Info'!$B$42 -'General Info'!$B$43 + 1)) + 'General Info'!$B$43 - 1, 0)</f>
        <v>12143.374739153483</v>
      </c>
      <c r="AI109" s="100" t="str">
        <f>IF(ISERROR(MATCH(SamplingData[[#This Row],[Batch by Type (p)]],SelectedPrecincts[Batch Name], 0)), "", INDEX(SelectedPrecincts[Draw], MATCH(SamplingData[[#This Row],[Batch by Type (p)]],SelectedPrecincts[Batch Name], 0)))</f>
        <v/>
      </c>
      <c r="AJ109" s="101">
        <f>IF(COUNTIF(SelectedPrecincts[Batch Name],SamplingData[[#This Row],[Batch by Type (p)]]) &lt;&gt; 0, COUNTIF(SelectedPrecincts[Batch Name],SamplingData[[#This Row],[Batch by Type (p)]]), 0)</f>
        <v>0</v>
      </c>
    </row>
    <row r="110" spans="1:36" ht="15" customHeight="1" x14ac:dyDescent="0.35">
      <c r="A110" s="98" t="s">
        <v>321</v>
      </c>
      <c r="B110" s="98">
        <v>17</v>
      </c>
      <c r="C110" s="98">
        <v>4</v>
      </c>
      <c r="D110" s="93">
        <v>0</v>
      </c>
      <c r="E110" s="93"/>
      <c r="F110" s="93"/>
      <c r="G110" s="97"/>
      <c r="H110" s="97"/>
      <c r="I110" s="93"/>
      <c r="J110" s="93"/>
      <c r="K110" s="93"/>
      <c r="L110" s="93"/>
      <c r="M110" s="93"/>
      <c r="N110" s="98">
        <v>0</v>
      </c>
      <c r="O110" s="98">
        <v>1</v>
      </c>
      <c r="P110" s="99">
        <f>SUM(SamplingData[[#This Row],[Winning Candidate]:[Under Votes]])</f>
        <v>22</v>
      </c>
      <c r="Q110" s="100">
        <f>IF(AND(SamplingData[[#This Row],[Total]]&lt;&gt; 0, NOT(ISBLANK(SamplingData[[#This Row],[Losing Candidate]]))),(SamplingData[[#This Row],[Total]]+SamplingData[[#This Row],[Winning Candidate]]-SamplingData[[#This Row],[Losing Candidate]])/(SamplingData[[#Totals],[Winning Candidate]]-SamplingData[[#Totals],[Losing Candidate]]), 0)</f>
        <v>2.2122495417483093E-3</v>
      </c>
      <c r="R110" s="100">
        <f>IF(AND(SamplingData[[#This Row],[Total]]&lt;&gt; 0, NOT(ISBLANK(SamplingData[[#This Row],[Candidate 3]]))),(SamplingData[[#This Row],[Total]]+SamplingData[[#This Row],[Winning Candidate]]-SamplingData[[#This Row],[Candidate 3]])/(SamplingData[[#Totals],[Winning Candidate]]-SamplingData[[#Totals],[Candidate 3]]), 0)</f>
        <v>2.2013998645292391E-3</v>
      </c>
      <c r="S110" s="100">
        <f>IF(AND(SamplingData[[#This Row],[Total]]&lt;&gt; 0, NOT(ISBLANK(SamplingData[[#This Row],[Candidate 4]]))),(SamplingData[[#This Row],[Total]]+SamplingData[[#This Row],[Winning Candidate]]-SamplingData[[#This Row],[Candidate 4]])/(SamplingData[[#Totals],[Winning Candidate]]-SamplingData[[#Totals],[Candidate 4]]), 0)</f>
        <v>0</v>
      </c>
      <c r="T110" s="100">
        <f>IF(AND(SamplingData[[#This Row],[Total]]&lt;&gt; 0, NOT(ISBLANK(SamplingData[[#This Row],[Candidate 5]]))),(SamplingData[[#This Row],[Total]]+SamplingData[[#This Row],[Winning Candidate]]-SamplingData[[#This Row],[Candidate 5]])/(SamplingData[[#Totals],[Winning Candidate]]-SamplingData[[#Totals],[Candidate 5]]), 0)</f>
        <v>0</v>
      </c>
      <c r="U110" s="100">
        <f>IF(AND(SamplingData[[#This Row],[Total]]&lt;&gt; 0, NOT(ISBLANK(SamplingData[[#This Row],[Candidate 6]]))),(SamplingData[[#This Row],[Total]]+SamplingData[[#This Row],[Losing Candidate]]-SamplingData[[#This Row],[Candidate 6]])/(SamplingData[[#Totals],[Winning Candidate]]-SamplingData[[#Totals],[Candidate 6]]), 0)</f>
        <v>0</v>
      </c>
      <c r="V110" s="100">
        <f>IF(AND(SamplingData[[#This Row],[Total]]&lt;&gt; 0, NOT(ISBLANK(SamplingData[[#This Row],[Candidate 7]]))),(SamplingData[[#This Row],[Total]]+SamplingData[[#This Row],[Winning Candidate]]-SamplingData[[#This Row],[Candidate 7]])/(SamplingData[[#Totals],[Winning Candidate]]-SamplingData[[#Totals],[Candidate 7]]), 0)</f>
        <v>0</v>
      </c>
      <c r="W110" s="100">
        <f>IF(AND(SamplingData[[#This Row],[Total]]&lt;&gt; 0, NOT(ISBLANK(SamplingData[[#This Row],[Candidate 8]]))),(SamplingData[[#This Row],[Total]]+SamplingData[[#This Row],[Winning Candidate]]-SamplingData[[#This Row],[Candidate 8]])/(SamplingData[[#Totals],[Winning Candidate]]-SamplingData[[#Totals],[Candidate 8]]), 0)</f>
        <v>0</v>
      </c>
      <c r="X1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0" s="100">
        <f>MAX(SamplingData[[#This Row],[Error Bound (up) - Max. possible relative overstatement - Losing Candidate]:[Error Bound (up) - Max. possible relative overstatement - Candidate 12]])</f>
        <v>2.2122495417483093E-3</v>
      </c>
      <c r="AC110" s="100">
        <f>IF(SamplingData[[#This Row],[Max Error Bound (up)]] = 0,0,SamplingData[[#This Row],[Max Error Bound (up)]]/SamplingData[[#Totals],[Max Error Bound (up)]])</f>
        <v>8.9785375593645167E-4</v>
      </c>
      <c r="AD110" s="104">
        <f>SUM($AC$5:AC110)</f>
        <v>0.12234160114747129</v>
      </c>
      <c r="AE110" s="100" t="str" cm="1">
        <f t="array" ref="AE110">IF(SamplingData[[#This Row],[up/U Selection Probability]] = 0, "Zero", TEXT(SamplingData[[#This Row],[Lower Range]], REPT("0",LEN('General Info'!$B$42))) &amp; " - " &amp; TEXT(SamplingData[[#This Row],[Upper Range]], REPT("0",LEN('General Info'!$B$42))))</f>
        <v>12144 - 12233</v>
      </c>
      <c r="AF110" s="100">
        <f>SamplingData[[#This Row],[Upper Range]]-SamplingData[[#This Row],[Span]]</f>
        <v>12144.374739153485</v>
      </c>
      <c r="AG110" s="100">
        <f>IF(ISNUMBER('General Info'!$B$42), ((SamplingData[[#This Row],[up/U Selection Probability]]) * 'General Info'!$B$44) - 1, 0)</f>
        <v>88.785375593645171</v>
      </c>
      <c r="AH110" s="100">
        <f>IF(ISNUMBER('General Info'!$B$42), (SamplingData[[#This Row],[Running (cumulative) sum]] * ('General Info'!$B$42 -'General Info'!$B$43 + 1)) + 'General Info'!$B$43 - 1, 0)</f>
        <v>12233.16011474713</v>
      </c>
      <c r="AI110" s="100" t="str">
        <f>IF(ISERROR(MATCH(SamplingData[[#This Row],[Batch by Type (p)]],SelectedPrecincts[Batch Name], 0)), "", INDEX(SelectedPrecincts[Draw], MATCH(SamplingData[[#This Row],[Batch by Type (p)]],SelectedPrecincts[Batch Name], 0)))</f>
        <v/>
      </c>
      <c r="AJ110" s="101">
        <f>IF(COUNTIF(SelectedPrecincts[Batch Name],SamplingData[[#This Row],[Batch by Type (p)]]) &lt;&gt; 0, COUNTIF(SelectedPrecincts[Batch Name],SamplingData[[#This Row],[Batch by Type (p)]]), 0)</f>
        <v>0</v>
      </c>
    </row>
    <row r="111" spans="1:36" ht="15" customHeight="1" x14ac:dyDescent="0.35">
      <c r="A111" s="98" t="s">
        <v>322</v>
      </c>
      <c r="B111" s="98">
        <v>43</v>
      </c>
      <c r="C111" s="98">
        <v>1</v>
      </c>
      <c r="D111" s="93">
        <v>0</v>
      </c>
      <c r="E111" s="93"/>
      <c r="F111" s="93"/>
      <c r="G111" s="97"/>
      <c r="H111" s="97"/>
      <c r="I111" s="93"/>
      <c r="J111" s="93"/>
      <c r="K111" s="93"/>
      <c r="L111" s="93"/>
      <c r="M111" s="93"/>
      <c r="N111" s="98">
        <v>0</v>
      </c>
      <c r="O111" s="98">
        <v>0</v>
      </c>
      <c r="P111" s="99">
        <f>SUM(SamplingData[[#This Row],[Winning Candidate]:[Under Votes]])</f>
        <v>44</v>
      </c>
      <c r="Q111" s="100">
        <f>IF(AND(SamplingData[[#This Row],[Total]]&lt;&gt; 0, NOT(ISBLANK(SamplingData[[#This Row],[Losing Candidate]]))),(SamplingData[[#This Row],[Total]]+SamplingData[[#This Row],[Winning Candidate]]-SamplingData[[#This Row],[Losing Candidate]])/(SamplingData[[#Totals],[Winning Candidate]]-SamplingData[[#Totals],[Losing Candidate]]), 0)</f>
        <v>5.4358131597244171E-3</v>
      </c>
      <c r="R111" s="100">
        <f>IF(AND(SamplingData[[#This Row],[Total]]&lt;&gt; 0, NOT(ISBLANK(SamplingData[[#This Row],[Candidate 3]]))),(SamplingData[[#This Row],[Total]]+SamplingData[[#This Row],[Winning Candidate]]-SamplingData[[#This Row],[Candidate 3]])/(SamplingData[[#Totals],[Winning Candidate]]-SamplingData[[#Totals],[Candidate 3]]), 0)</f>
        <v>4.9108150824113796E-3</v>
      </c>
      <c r="S111" s="100">
        <f>IF(AND(SamplingData[[#This Row],[Total]]&lt;&gt; 0, NOT(ISBLANK(SamplingData[[#This Row],[Candidate 4]]))),(SamplingData[[#This Row],[Total]]+SamplingData[[#This Row],[Winning Candidate]]-SamplingData[[#This Row],[Candidate 4]])/(SamplingData[[#Totals],[Winning Candidate]]-SamplingData[[#Totals],[Candidate 4]]), 0)</f>
        <v>0</v>
      </c>
      <c r="T111" s="100">
        <f>IF(AND(SamplingData[[#This Row],[Total]]&lt;&gt; 0, NOT(ISBLANK(SamplingData[[#This Row],[Candidate 5]]))),(SamplingData[[#This Row],[Total]]+SamplingData[[#This Row],[Winning Candidate]]-SamplingData[[#This Row],[Candidate 5]])/(SamplingData[[#Totals],[Winning Candidate]]-SamplingData[[#Totals],[Candidate 5]]), 0)</f>
        <v>0</v>
      </c>
      <c r="U111" s="100">
        <f>IF(AND(SamplingData[[#This Row],[Total]]&lt;&gt; 0, NOT(ISBLANK(SamplingData[[#This Row],[Candidate 6]]))),(SamplingData[[#This Row],[Total]]+SamplingData[[#This Row],[Losing Candidate]]-SamplingData[[#This Row],[Candidate 6]])/(SamplingData[[#Totals],[Winning Candidate]]-SamplingData[[#Totals],[Candidate 6]]), 0)</f>
        <v>0</v>
      </c>
      <c r="V111" s="100">
        <f>IF(AND(SamplingData[[#This Row],[Total]]&lt;&gt; 0, NOT(ISBLANK(SamplingData[[#This Row],[Candidate 7]]))),(SamplingData[[#This Row],[Total]]+SamplingData[[#This Row],[Winning Candidate]]-SamplingData[[#This Row],[Candidate 7]])/(SamplingData[[#Totals],[Winning Candidate]]-SamplingData[[#Totals],[Candidate 7]]), 0)</f>
        <v>0</v>
      </c>
      <c r="W111" s="100">
        <f>IF(AND(SamplingData[[#This Row],[Total]]&lt;&gt; 0, NOT(ISBLANK(SamplingData[[#This Row],[Candidate 8]]))),(SamplingData[[#This Row],[Total]]+SamplingData[[#This Row],[Winning Candidate]]-SamplingData[[#This Row],[Candidate 8]])/(SamplingData[[#Totals],[Winning Candidate]]-SamplingData[[#Totals],[Candidate 8]]), 0)</f>
        <v>0</v>
      </c>
      <c r="X1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1" s="100">
        <f>MAX(SamplingData[[#This Row],[Error Bound (up) - Max. possible relative overstatement - Losing Candidate]:[Error Bound (up) - Max. possible relative overstatement - Candidate 12]])</f>
        <v>5.4358131597244171E-3</v>
      </c>
      <c r="AC111" s="100">
        <f>IF(SamplingData[[#This Row],[Max Error Bound (up)]] = 0,0,SamplingData[[#This Row],[Max Error Bound (up)]]/SamplingData[[#Totals],[Max Error Bound (up)]])</f>
        <v>2.2061549431581385E-3</v>
      </c>
      <c r="AD111" s="104">
        <f>SUM($AC$5:AC111)</f>
        <v>0.12454775609062943</v>
      </c>
      <c r="AE111" s="100" t="str" cm="1">
        <f t="array" ref="AE111">IF(SamplingData[[#This Row],[up/U Selection Probability]] = 0, "Zero", TEXT(SamplingData[[#This Row],[Lower Range]], REPT("0",LEN('General Info'!$B$42))) &amp; " - " &amp; TEXT(SamplingData[[#This Row],[Upper Range]], REPT("0",LEN('General Info'!$B$42))))</f>
        <v>12234 - 12454</v>
      </c>
      <c r="AF111" s="100">
        <f>SamplingData[[#This Row],[Upper Range]]-SamplingData[[#This Row],[Span]]</f>
        <v>12234.160114747128</v>
      </c>
      <c r="AG111" s="100">
        <f>IF(ISNUMBER('General Info'!$B$42), ((SamplingData[[#This Row],[up/U Selection Probability]]) * 'General Info'!$B$44) - 1, 0)</f>
        <v>219.61549431581386</v>
      </c>
      <c r="AH111" s="100">
        <f>IF(ISNUMBER('General Info'!$B$42), (SamplingData[[#This Row],[Running (cumulative) sum]] * ('General Info'!$B$42 -'General Info'!$B$43 + 1)) + 'General Info'!$B$43 - 1, 0)</f>
        <v>12453.775609062943</v>
      </c>
      <c r="AI111" s="100" t="str">
        <f>IF(ISERROR(MATCH(SamplingData[[#This Row],[Batch by Type (p)]],SelectedPrecincts[Batch Name], 0)), "", INDEX(SelectedPrecincts[Draw], MATCH(SamplingData[[#This Row],[Batch by Type (p)]],SelectedPrecincts[Batch Name], 0)))</f>
        <v/>
      </c>
      <c r="AJ111" s="101">
        <f>IF(COUNTIF(SelectedPrecincts[Batch Name],SamplingData[[#This Row],[Batch by Type (p)]]) &lt;&gt; 0, COUNTIF(SelectedPrecincts[Batch Name],SamplingData[[#This Row],[Batch by Type (p)]]), 0)</f>
        <v>0</v>
      </c>
    </row>
    <row r="112" spans="1:36" ht="15" customHeight="1" x14ac:dyDescent="0.35">
      <c r="A112" s="98" t="s">
        <v>323</v>
      </c>
      <c r="B112" s="98">
        <v>11</v>
      </c>
      <c r="C112" s="98">
        <v>4</v>
      </c>
      <c r="D112" s="93">
        <v>0</v>
      </c>
      <c r="E112" s="93"/>
      <c r="F112" s="93"/>
      <c r="G112" s="97"/>
      <c r="H112" s="97"/>
      <c r="I112" s="93"/>
      <c r="J112" s="93"/>
      <c r="K112" s="93"/>
      <c r="L112" s="93"/>
      <c r="M112" s="93"/>
      <c r="N112" s="98">
        <v>0</v>
      </c>
      <c r="O112" s="98">
        <v>0</v>
      </c>
      <c r="P112" s="99">
        <f>SUM(SamplingData[[#This Row],[Winning Candidate]:[Under Votes]])</f>
        <v>15</v>
      </c>
      <c r="Q112"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112" s="100">
        <f>IF(AND(SamplingData[[#This Row],[Total]]&lt;&gt; 0, NOT(ISBLANK(SamplingData[[#This Row],[Candidate 3]]))),(SamplingData[[#This Row],[Total]]+SamplingData[[#This Row],[Winning Candidate]]-SamplingData[[#This Row],[Candidate 3]])/(SamplingData[[#Totals],[Winning Candidate]]-SamplingData[[#Totals],[Candidate 3]]), 0)</f>
        <v>1.4675999096861595E-3</v>
      </c>
      <c r="S112" s="100">
        <f>IF(AND(SamplingData[[#This Row],[Total]]&lt;&gt; 0, NOT(ISBLANK(SamplingData[[#This Row],[Candidate 4]]))),(SamplingData[[#This Row],[Total]]+SamplingData[[#This Row],[Winning Candidate]]-SamplingData[[#This Row],[Candidate 4]])/(SamplingData[[#Totals],[Winning Candidate]]-SamplingData[[#Totals],[Candidate 4]]), 0)</f>
        <v>0</v>
      </c>
      <c r="T112" s="100">
        <f>IF(AND(SamplingData[[#This Row],[Total]]&lt;&gt; 0, NOT(ISBLANK(SamplingData[[#This Row],[Candidate 5]]))),(SamplingData[[#This Row],[Total]]+SamplingData[[#This Row],[Winning Candidate]]-SamplingData[[#This Row],[Candidate 5]])/(SamplingData[[#Totals],[Winning Candidate]]-SamplingData[[#Totals],[Candidate 5]]), 0)</f>
        <v>0</v>
      </c>
      <c r="U112" s="100">
        <f>IF(AND(SamplingData[[#This Row],[Total]]&lt;&gt; 0, NOT(ISBLANK(SamplingData[[#This Row],[Candidate 6]]))),(SamplingData[[#This Row],[Total]]+SamplingData[[#This Row],[Losing Candidate]]-SamplingData[[#This Row],[Candidate 6]])/(SamplingData[[#Totals],[Winning Candidate]]-SamplingData[[#Totals],[Candidate 6]]), 0)</f>
        <v>0</v>
      </c>
      <c r="V112" s="100">
        <f>IF(AND(SamplingData[[#This Row],[Total]]&lt;&gt; 0, NOT(ISBLANK(SamplingData[[#This Row],[Candidate 7]]))),(SamplingData[[#This Row],[Total]]+SamplingData[[#This Row],[Winning Candidate]]-SamplingData[[#This Row],[Candidate 7]])/(SamplingData[[#Totals],[Winning Candidate]]-SamplingData[[#Totals],[Candidate 7]]), 0)</f>
        <v>0</v>
      </c>
      <c r="W112" s="100">
        <f>IF(AND(SamplingData[[#This Row],[Total]]&lt;&gt; 0, NOT(ISBLANK(SamplingData[[#This Row],[Candidate 8]]))),(SamplingData[[#This Row],[Total]]+SamplingData[[#This Row],[Winning Candidate]]-SamplingData[[#This Row],[Candidate 8]])/(SamplingData[[#Totals],[Winning Candidate]]-SamplingData[[#Totals],[Candidate 8]]), 0)</f>
        <v>0</v>
      </c>
      <c r="X1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2" s="100">
        <f>MAX(SamplingData[[#This Row],[Error Bound (up) - Max. possible relative overstatement - Losing Candidate]:[Error Bound (up) - Max. possible relative overstatement - Candidate 12]])</f>
        <v>1.4675999096861595E-3</v>
      </c>
      <c r="AC112" s="100">
        <f>IF(SamplingData[[#This Row],[Max Error Bound (up)]] = 0,0,SamplingData[[#This Row],[Max Error Bound (up)]]/SamplingData[[#Totals],[Max Error Bound (up)]])</f>
        <v>5.9563356947623725E-4</v>
      </c>
      <c r="AD112" s="104">
        <f>SUM($AC$5:AC112)</f>
        <v>0.12514338966010566</v>
      </c>
      <c r="AE112" s="100" t="str" cm="1">
        <f t="array" ref="AE112">IF(SamplingData[[#This Row],[up/U Selection Probability]] = 0, "Zero", TEXT(SamplingData[[#This Row],[Lower Range]], REPT("0",LEN('General Info'!$B$42))) &amp; " - " &amp; TEXT(SamplingData[[#This Row],[Upper Range]], REPT("0",LEN('General Info'!$B$42))))</f>
        <v>12455 - 12513</v>
      </c>
      <c r="AF112" s="100">
        <f>SamplingData[[#This Row],[Upper Range]]-SamplingData[[#This Row],[Span]]</f>
        <v>12454.775609062943</v>
      </c>
      <c r="AG112" s="100">
        <f>IF(ISNUMBER('General Info'!$B$42), ((SamplingData[[#This Row],[up/U Selection Probability]]) * 'General Info'!$B$44) - 1, 0)</f>
        <v>58.563356947623724</v>
      </c>
      <c r="AH112" s="100">
        <f>IF(ISNUMBER('General Info'!$B$42), (SamplingData[[#This Row],[Running (cumulative) sum]] * ('General Info'!$B$42 -'General Info'!$B$43 + 1)) + 'General Info'!$B$43 - 1, 0)</f>
        <v>12513.338966010566</v>
      </c>
      <c r="AI112" s="100" t="str">
        <f>IF(ISERROR(MATCH(SamplingData[[#This Row],[Batch by Type (p)]],SelectedPrecincts[Batch Name], 0)), "", INDEX(SelectedPrecincts[Draw], MATCH(SamplingData[[#This Row],[Batch by Type (p)]],SelectedPrecincts[Batch Name], 0)))</f>
        <v/>
      </c>
      <c r="AJ112" s="101">
        <f>IF(COUNTIF(SelectedPrecincts[Batch Name],SamplingData[[#This Row],[Batch by Type (p)]]) &lt;&gt; 0, COUNTIF(SelectedPrecincts[Batch Name],SamplingData[[#This Row],[Batch by Type (p)]]), 0)</f>
        <v>0</v>
      </c>
    </row>
    <row r="113" spans="1:36" ht="15" customHeight="1" x14ac:dyDescent="0.35">
      <c r="A113" s="98" t="s">
        <v>324</v>
      </c>
      <c r="B113" s="98">
        <v>11</v>
      </c>
      <c r="C113" s="98">
        <v>0</v>
      </c>
      <c r="D113" s="93">
        <v>0</v>
      </c>
      <c r="E113" s="93"/>
      <c r="F113" s="93"/>
      <c r="G113" s="97"/>
      <c r="H113" s="97"/>
      <c r="I113" s="93"/>
      <c r="J113" s="93"/>
      <c r="K113" s="93"/>
      <c r="L113" s="93"/>
      <c r="M113" s="93"/>
      <c r="N113" s="98">
        <v>0</v>
      </c>
      <c r="O113" s="98">
        <v>0</v>
      </c>
      <c r="P113" s="99">
        <f>SUM(SamplingData[[#This Row],[Winning Candidate]:[Under Votes]])</f>
        <v>11</v>
      </c>
      <c r="Q113"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1.3905568548132229E-3</v>
      </c>
      <c r="R113" s="100">
        <f>IF(AND(SamplingData[[#This Row],[Total]]&lt;&gt; 0, NOT(ISBLANK(SamplingData[[#This Row],[Candidate 3]]))),(SamplingData[[#This Row],[Total]]+SamplingData[[#This Row],[Winning Candidate]]-SamplingData[[#This Row],[Candidate 3]])/(SamplingData[[#Totals],[Winning Candidate]]-SamplingData[[#Totals],[Candidate 3]]), 0)</f>
        <v>1.241815308195981E-3</v>
      </c>
      <c r="S113" s="100">
        <f>IF(AND(SamplingData[[#This Row],[Total]]&lt;&gt; 0, NOT(ISBLANK(SamplingData[[#This Row],[Candidate 4]]))),(SamplingData[[#This Row],[Total]]+SamplingData[[#This Row],[Winning Candidate]]-SamplingData[[#This Row],[Candidate 4]])/(SamplingData[[#Totals],[Winning Candidate]]-SamplingData[[#Totals],[Candidate 4]]), 0)</f>
        <v>0</v>
      </c>
      <c r="T113" s="100">
        <f>IF(AND(SamplingData[[#This Row],[Total]]&lt;&gt; 0, NOT(ISBLANK(SamplingData[[#This Row],[Candidate 5]]))),(SamplingData[[#This Row],[Total]]+SamplingData[[#This Row],[Winning Candidate]]-SamplingData[[#This Row],[Candidate 5]])/(SamplingData[[#Totals],[Winning Candidate]]-SamplingData[[#Totals],[Candidate 5]]), 0)</f>
        <v>0</v>
      </c>
      <c r="U113" s="100">
        <f>IF(AND(SamplingData[[#This Row],[Total]]&lt;&gt; 0, NOT(ISBLANK(SamplingData[[#This Row],[Candidate 6]]))),(SamplingData[[#This Row],[Total]]+SamplingData[[#This Row],[Losing Candidate]]-SamplingData[[#This Row],[Candidate 6]])/(SamplingData[[#Totals],[Winning Candidate]]-SamplingData[[#Totals],[Candidate 6]]), 0)</f>
        <v>0</v>
      </c>
      <c r="V113" s="100">
        <f>IF(AND(SamplingData[[#This Row],[Total]]&lt;&gt; 0, NOT(ISBLANK(SamplingData[[#This Row],[Candidate 7]]))),(SamplingData[[#This Row],[Total]]+SamplingData[[#This Row],[Winning Candidate]]-SamplingData[[#This Row],[Candidate 7]])/(SamplingData[[#Totals],[Winning Candidate]]-SamplingData[[#Totals],[Candidate 7]]), 0)</f>
        <v>0</v>
      </c>
      <c r="W113" s="100">
        <f>IF(AND(SamplingData[[#This Row],[Total]]&lt;&gt; 0, NOT(ISBLANK(SamplingData[[#This Row],[Candidate 8]]))),(SamplingData[[#This Row],[Total]]+SamplingData[[#This Row],[Winning Candidate]]-SamplingData[[#This Row],[Candidate 8]])/(SamplingData[[#Totals],[Winning Candidate]]-SamplingData[[#Totals],[Candidate 8]]), 0)</f>
        <v>0</v>
      </c>
      <c r="X1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3" s="100">
        <f>MAX(SamplingData[[#This Row],[Error Bound (up) - Max. possible relative overstatement - Losing Candidate]:[Error Bound (up) - Max. possible relative overstatement - Candidate 12]])</f>
        <v>1.3905568548132229E-3</v>
      </c>
      <c r="AC113" s="100">
        <f>IF(SamplingData[[#This Row],[Max Error Bound (up)]] = 0,0,SamplingData[[#This Row],[Max Error Bound (up)]]/SamplingData[[#Totals],[Max Error Bound (up)]])</f>
        <v>5.6436521801719809E-4</v>
      </c>
      <c r="AD113" s="104">
        <f>SUM($AC$5:AC113)</f>
        <v>0.12570775487812286</v>
      </c>
      <c r="AE113" s="100" t="str" cm="1">
        <f t="array" ref="AE113">IF(SamplingData[[#This Row],[up/U Selection Probability]] = 0, "Zero", TEXT(SamplingData[[#This Row],[Lower Range]], REPT("0",LEN('General Info'!$B$42))) &amp; " - " &amp; TEXT(SamplingData[[#This Row],[Upper Range]], REPT("0",LEN('General Info'!$B$42))))</f>
        <v>12514 - 12570</v>
      </c>
      <c r="AF113" s="100">
        <f>SamplingData[[#This Row],[Upper Range]]-SamplingData[[#This Row],[Span]]</f>
        <v>12514.338966010566</v>
      </c>
      <c r="AG113" s="100">
        <f>IF(ISNUMBER('General Info'!$B$42), ((SamplingData[[#This Row],[up/U Selection Probability]]) * 'General Info'!$B$44) - 1, 0)</f>
        <v>55.436521801719806</v>
      </c>
      <c r="AH113" s="100">
        <f>IF(ISNUMBER('General Info'!$B$42), (SamplingData[[#This Row],[Running (cumulative) sum]] * ('General Info'!$B$42 -'General Info'!$B$43 + 1)) + 'General Info'!$B$43 - 1, 0)</f>
        <v>12569.775487812285</v>
      </c>
      <c r="AI113" s="100" t="str">
        <f>IF(ISERROR(MATCH(SamplingData[[#This Row],[Batch by Type (p)]],SelectedPrecincts[Batch Name], 0)), "", INDEX(SelectedPrecincts[Draw], MATCH(SamplingData[[#This Row],[Batch by Type (p)]],SelectedPrecincts[Batch Name], 0)))</f>
        <v/>
      </c>
      <c r="AJ113" s="101">
        <f>IF(COUNTIF(SelectedPrecincts[Batch Name],SamplingData[[#This Row],[Batch by Type (p)]]) &lt;&gt; 0, COUNTIF(SelectedPrecincts[Batch Name],SamplingData[[#This Row],[Batch by Type (p)]]), 0)</f>
        <v>0</v>
      </c>
    </row>
    <row r="114" spans="1:36" ht="15" customHeight="1" x14ac:dyDescent="0.35">
      <c r="A114" s="98" t="s">
        <v>325</v>
      </c>
      <c r="B114" s="98">
        <v>13</v>
      </c>
      <c r="C114" s="98">
        <v>1</v>
      </c>
      <c r="D114" s="93">
        <v>0</v>
      </c>
      <c r="E114" s="93"/>
      <c r="F114" s="93"/>
      <c r="G114" s="97"/>
      <c r="H114" s="97"/>
      <c r="I114" s="93"/>
      <c r="J114" s="93"/>
      <c r="K114" s="93"/>
      <c r="L114" s="93"/>
      <c r="M114" s="93"/>
      <c r="N114" s="98">
        <v>0</v>
      </c>
      <c r="O114" s="98">
        <v>1</v>
      </c>
      <c r="P114" s="99">
        <f>SUM(SamplingData[[#This Row],[Winning Candidate]:[Under Votes]])</f>
        <v>15</v>
      </c>
      <c r="Q114" s="100">
        <f>IF(AND(SamplingData[[#This Row],[Total]]&lt;&gt; 0, NOT(ISBLANK(SamplingData[[#This Row],[Losing Candidate]]))),(SamplingData[[#This Row],[Total]]+SamplingData[[#This Row],[Winning Candidate]]-SamplingData[[#This Row],[Losing Candidate]])/(SamplingData[[#Totals],[Winning Candidate]]-SamplingData[[#Totals],[Losing Candidate]]), 0)</f>
        <v>1.70659250363441E-3</v>
      </c>
      <c r="R114" s="100">
        <f>IF(AND(SamplingData[[#This Row],[Total]]&lt;&gt; 0, NOT(ISBLANK(SamplingData[[#This Row],[Candidate 3]]))),(SamplingData[[#This Row],[Total]]+SamplingData[[#This Row],[Winning Candidate]]-SamplingData[[#This Row],[Candidate 3]])/(SamplingData[[#Totals],[Winning Candidate]]-SamplingData[[#Totals],[Candidate 3]]), 0)</f>
        <v>1.5804922104312486E-3</v>
      </c>
      <c r="S114" s="100">
        <f>IF(AND(SamplingData[[#This Row],[Total]]&lt;&gt; 0, NOT(ISBLANK(SamplingData[[#This Row],[Candidate 4]]))),(SamplingData[[#This Row],[Total]]+SamplingData[[#This Row],[Winning Candidate]]-SamplingData[[#This Row],[Candidate 4]])/(SamplingData[[#Totals],[Winning Candidate]]-SamplingData[[#Totals],[Candidate 4]]), 0)</f>
        <v>0</v>
      </c>
      <c r="T114" s="100">
        <f>IF(AND(SamplingData[[#This Row],[Total]]&lt;&gt; 0, NOT(ISBLANK(SamplingData[[#This Row],[Candidate 5]]))),(SamplingData[[#This Row],[Total]]+SamplingData[[#This Row],[Winning Candidate]]-SamplingData[[#This Row],[Candidate 5]])/(SamplingData[[#Totals],[Winning Candidate]]-SamplingData[[#Totals],[Candidate 5]]), 0)</f>
        <v>0</v>
      </c>
      <c r="U114" s="100">
        <f>IF(AND(SamplingData[[#This Row],[Total]]&lt;&gt; 0, NOT(ISBLANK(SamplingData[[#This Row],[Candidate 6]]))),(SamplingData[[#This Row],[Total]]+SamplingData[[#This Row],[Losing Candidate]]-SamplingData[[#This Row],[Candidate 6]])/(SamplingData[[#Totals],[Winning Candidate]]-SamplingData[[#Totals],[Candidate 6]]), 0)</f>
        <v>0</v>
      </c>
      <c r="V114" s="100">
        <f>IF(AND(SamplingData[[#This Row],[Total]]&lt;&gt; 0, NOT(ISBLANK(SamplingData[[#This Row],[Candidate 7]]))),(SamplingData[[#This Row],[Total]]+SamplingData[[#This Row],[Winning Candidate]]-SamplingData[[#This Row],[Candidate 7]])/(SamplingData[[#Totals],[Winning Candidate]]-SamplingData[[#Totals],[Candidate 7]]), 0)</f>
        <v>0</v>
      </c>
      <c r="W114" s="100">
        <f>IF(AND(SamplingData[[#This Row],[Total]]&lt;&gt; 0, NOT(ISBLANK(SamplingData[[#This Row],[Candidate 8]]))),(SamplingData[[#This Row],[Total]]+SamplingData[[#This Row],[Winning Candidate]]-SamplingData[[#This Row],[Candidate 8]])/(SamplingData[[#Totals],[Winning Candidate]]-SamplingData[[#Totals],[Candidate 8]]), 0)</f>
        <v>0</v>
      </c>
      <c r="X1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4" s="100">
        <f>MAX(SamplingData[[#This Row],[Error Bound (up) - Max. possible relative overstatement - Losing Candidate]:[Error Bound (up) - Max. possible relative overstatement - Candidate 12]])</f>
        <v>1.70659250363441E-3</v>
      </c>
      <c r="AC114" s="100">
        <f>IF(SamplingData[[#This Row],[Max Error Bound (up)]] = 0,0,SamplingData[[#This Row],[Max Error Bound (up)]]/SamplingData[[#Totals],[Max Error Bound (up)]])</f>
        <v>6.9263004029383409E-4</v>
      </c>
      <c r="AD114" s="104">
        <f>SUM($AC$5:AC114)</f>
        <v>0.12640038491841668</v>
      </c>
      <c r="AE114" s="100" t="str" cm="1">
        <f t="array" ref="AE114">IF(SamplingData[[#This Row],[up/U Selection Probability]] = 0, "Zero", TEXT(SamplingData[[#This Row],[Lower Range]], REPT("0",LEN('General Info'!$B$42))) &amp; " - " &amp; TEXT(SamplingData[[#This Row],[Upper Range]], REPT("0",LEN('General Info'!$B$42))))</f>
        <v>12571 - 12639</v>
      </c>
      <c r="AF114" s="100">
        <f>SamplingData[[#This Row],[Upper Range]]-SamplingData[[#This Row],[Span]]</f>
        <v>12570.775487812283</v>
      </c>
      <c r="AG114" s="100">
        <f>IF(ISNUMBER('General Info'!$B$42), ((SamplingData[[#This Row],[up/U Selection Probability]]) * 'General Info'!$B$44) - 1, 0)</f>
        <v>68.26300402938341</v>
      </c>
      <c r="AH114" s="100">
        <f>IF(ISNUMBER('General Info'!$B$42), (SamplingData[[#This Row],[Running (cumulative) sum]] * ('General Info'!$B$42 -'General Info'!$B$43 + 1)) + 'General Info'!$B$43 - 1, 0)</f>
        <v>12639.038491841668</v>
      </c>
      <c r="AI114" s="100" t="str">
        <f>IF(ISERROR(MATCH(SamplingData[[#This Row],[Batch by Type (p)]],SelectedPrecincts[Batch Name], 0)), "", INDEX(SelectedPrecincts[Draw], MATCH(SamplingData[[#This Row],[Batch by Type (p)]],SelectedPrecincts[Batch Name], 0)))</f>
        <v/>
      </c>
      <c r="AJ114" s="101">
        <f>IF(COUNTIF(SelectedPrecincts[Batch Name],SamplingData[[#This Row],[Batch by Type (p)]]) &lt;&gt; 0, COUNTIF(SelectedPrecincts[Batch Name],SamplingData[[#This Row],[Batch by Type (p)]]), 0)</f>
        <v>0</v>
      </c>
    </row>
    <row r="115" spans="1:36" ht="15" customHeight="1" x14ac:dyDescent="0.35">
      <c r="A115" s="98" t="s">
        <v>326</v>
      </c>
      <c r="B115" s="98">
        <v>6</v>
      </c>
      <c r="C115" s="98">
        <v>1</v>
      </c>
      <c r="D115" s="93">
        <v>1</v>
      </c>
      <c r="E115" s="93"/>
      <c r="F115" s="93"/>
      <c r="G115" s="97"/>
      <c r="H115" s="97"/>
      <c r="I115" s="93"/>
      <c r="J115" s="93"/>
      <c r="K115" s="93"/>
      <c r="L115" s="93"/>
      <c r="M115" s="93"/>
      <c r="N115" s="98">
        <v>0</v>
      </c>
      <c r="O115" s="98">
        <v>0</v>
      </c>
      <c r="P115" s="99">
        <f>SUM(SamplingData[[#This Row],[Winning Candidate]:[Under Votes]])</f>
        <v>8</v>
      </c>
      <c r="Q115" s="100">
        <f>IF(AND(SamplingData[[#This Row],[Total]]&lt;&gt; 0, NOT(ISBLANK(SamplingData[[#This Row],[Losing Candidate]]))),(SamplingData[[#This Row],[Total]]+SamplingData[[#This Row],[Winning Candidate]]-SamplingData[[#This Row],[Losing Candidate]])/(SamplingData[[#Totals],[Winning Candidate]]-SamplingData[[#Totals],[Losing Candidate]]), 0)</f>
        <v>8.2169268693508624E-4</v>
      </c>
      <c r="R115" s="100">
        <f>IF(AND(SamplingData[[#This Row],[Total]]&lt;&gt; 0, NOT(ISBLANK(SamplingData[[#This Row],[Candidate 3]]))),(SamplingData[[#This Row],[Total]]+SamplingData[[#This Row],[Winning Candidate]]-SamplingData[[#This Row],[Candidate 3]])/(SamplingData[[#Totals],[Winning Candidate]]-SamplingData[[#Totals],[Candidate 3]]), 0)</f>
        <v>7.3379995484307975E-4</v>
      </c>
      <c r="S115" s="100">
        <f>IF(AND(SamplingData[[#This Row],[Total]]&lt;&gt; 0, NOT(ISBLANK(SamplingData[[#This Row],[Candidate 4]]))),(SamplingData[[#This Row],[Total]]+SamplingData[[#This Row],[Winning Candidate]]-SamplingData[[#This Row],[Candidate 4]])/(SamplingData[[#Totals],[Winning Candidate]]-SamplingData[[#Totals],[Candidate 4]]), 0)</f>
        <v>0</v>
      </c>
      <c r="T115" s="100">
        <f>IF(AND(SamplingData[[#This Row],[Total]]&lt;&gt; 0, NOT(ISBLANK(SamplingData[[#This Row],[Candidate 5]]))),(SamplingData[[#This Row],[Total]]+SamplingData[[#This Row],[Winning Candidate]]-SamplingData[[#This Row],[Candidate 5]])/(SamplingData[[#Totals],[Winning Candidate]]-SamplingData[[#Totals],[Candidate 5]]), 0)</f>
        <v>0</v>
      </c>
      <c r="U115" s="100">
        <f>IF(AND(SamplingData[[#This Row],[Total]]&lt;&gt; 0, NOT(ISBLANK(SamplingData[[#This Row],[Candidate 6]]))),(SamplingData[[#This Row],[Total]]+SamplingData[[#This Row],[Losing Candidate]]-SamplingData[[#This Row],[Candidate 6]])/(SamplingData[[#Totals],[Winning Candidate]]-SamplingData[[#Totals],[Candidate 6]]), 0)</f>
        <v>0</v>
      </c>
      <c r="V115" s="100">
        <f>IF(AND(SamplingData[[#This Row],[Total]]&lt;&gt; 0, NOT(ISBLANK(SamplingData[[#This Row],[Candidate 7]]))),(SamplingData[[#This Row],[Total]]+SamplingData[[#This Row],[Winning Candidate]]-SamplingData[[#This Row],[Candidate 7]])/(SamplingData[[#Totals],[Winning Candidate]]-SamplingData[[#Totals],[Candidate 7]]), 0)</f>
        <v>0</v>
      </c>
      <c r="W115" s="100">
        <f>IF(AND(SamplingData[[#This Row],[Total]]&lt;&gt; 0, NOT(ISBLANK(SamplingData[[#This Row],[Candidate 8]]))),(SamplingData[[#This Row],[Total]]+SamplingData[[#This Row],[Winning Candidate]]-SamplingData[[#This Row],[Candidate 8]])/(SamplingData[[#Totals],[Winning Candidate]]-SamplingData[[#Totals],[Candidate 8]]), 0)</f>
        <v>0</v>
      </c>
      <c r="X1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5" s="100">
        <f>MAX(SamplingData[[#This Row],[Error Bound (up) - Max. possible relative overstatement - Losing Candidate]:[Error Bound (up) - Max. possible relative overstatement - Candidate 12]])</f>
        <v>8.2169268693508624E-4</v>
      </c>
      <c r="AC115" s="100">
        <f>IF(SamplingData[[#This Row],[Max Error Bound (up)]] = 0,0,SamplingData[[#This Row],[Max Error Bound (up)]]/SamplingData[[#Totals],[Max Error Bound (up)]])</f>
        <v>3.3348853791925341E-4</v>
      </c>
      <c r="AD115" s="104">
        <f>SUM($AC$5:AC115)</f>
        <v>0.12673387345633594</v>
      </c>
      <c r="AE115" s="100" t="str" cm="1">
        <f t="array" ref="AE115">IF(SamplingData[[#This Row],[up/U Selection Probability]] = 0, "Zero", TEXT(SamplingData[[#This Row],[Lower Range]], REPT("0",LEN('General Info'!$B$42))) &amp; " - " &amp; TEXT(SamplingData[[#This Row],[Upper Range]], REPT("0",LEN('General Info'!$B$42))))</f>
        <v>12640 - 12672</v>
      </c>
      <c r="AF115" s="100">
        <f>SamplingData[[#This Row],[Upper Range]]-SamplingData[[#This Row],[Span]]</f>
        <v>12640.038491841668</v>
      </c>
      <c r="AG115" s="100">
        <f>IF(ISNUMBER('General Info'!$B$42), ((SamplingData[[#This Row],[up/U Selection Probability]]) * 'General Info'!$B$44) - 1, 0)</f>
        <v>32.348853791925343</v>
      </c>
      <c r="AH115" s="100">
        <f>IF(ISNUMBER('General Info'!$B$42), (SamplingData[[#This Row],[Running (cumulative) sum]] * ('General Info'!$B$42 -'General Info'!$B$43 + 1)) + 'General Info'!$B$43 - 1, 0)</f>
        <v>12672.387345633593</v>
      </c>
      <c r="AI115" s="100" t="str">
        <f>IF(ISERROR(MATCH(SamplingData[[#This Row],[Batch by Type (p)]],SelectedPrecincts[Batch Name], 0)), "", INDEX(SelectedPrecincts[Draw], MATCH(SamplingData[[#This Row],[Batch by Type (p)]],SelectedPrecincts[Batch Name], 0)))</f>
        <v/>
      </c>
      <c r="AJ115" s="101">
        <f>IF(COUNTIF(SelectedPrecincts[Batch Name],SamplingData[[#This Row],[Batch by Type (p)]]) &lt;&gt; 0, COUNTIF(SelectedPrecincts[Batch Name],SamplingData[[#This Row],[Batch by Type (p)]]), 0)</f>
        <v>0</v>
      </c>
    </row>
    <row r="116" spans="1:36" ht="15" customHeight="1" x14ac:dyDescent="0.35">
      <c r="A116" s="98" t="s">
        <v>327</v>
      </c>
      <c r="B116" s="98">
        <v>18</v>
      </c>
      <c r="C116" s="98">
        <v>0</v>
      </c>
      <c r="D116" s="93">
        <v>0</v>
      </c>
      <c r="E116" s="93"/>
      <c r="F116" s="93"/>
      <c r="G116" s="97"/>
      <c r="H116" s="97"/>
      <c r="I116" s="93"/>
      <c r="J116" s="93"/>
      <c r="K116" s="93"/>
      <c r="L116" s="93"/>
      <c r="M116" s="93"/>
      <c r="N116" s="98">
        <v>0</v>
      </c>
      <c r="O116" s="98">
        <v>0</v>
      </c>
      <c r="P116" s="99">
        <f>SUM(SamplingData[[#This Row],[Winning Candidate]:[Under Votes]])</f>
        <v>18</v>
      </c>
      <c r="Q116" s="100">
        <f>IF(AND(SamplingData[[#This Row],[Total]]&lt;&gt; 0, NOT(ISBLANK(SamplingData[[#This Row],[Losing Candidate]]))),(SamplingData[[#This Row],[Total]]+SamplingData[[#This Row],[Winning Candidate]]-SamplingData[[#This Row],[Losing Candidate]])/(SamplingData[[#Totals],[Winning Candidate]]-SamplingData[[#Totals],[Losing Candidate]]), 0)</f>
        <v>2.2754566715125464E-3</v>
      </c>
      <c r="R116" s="100">
        <f>IF(AND(SamplingData[[#This Row],[Total]]&lt;&gt; 0, NOT(ISBLANK(SamplingData[[#This Row],[Candidate 3]]))),(SamplingData[[#This Row],[Total]]+SamplingData[[#This Row],[Winning Candidate]]-SamplingData[[#This Row],[Candidate 3]])/(SamplingData[[#Totals],[Winning Candidate]]-SamplingData[[#Totals],[Candidate 3]]), 0)</f>
        <v>2.0320614134116052E-3</v>
      </c>
      <c r="S116" s="100">
        <f>IF(AND(SamplingData[[#This Row],[Total]]&lt;&gt; 0, NOT(ISBLANK(SamplingData[[#This Row],[Candidate 4]]))),(SamplingData[[#This Row],[Total]]+SamplingData[[#This Row],[Winning Candidate]]-SamplingData[[#This Row],[Candidate 4]])/(SamplingData[[#Totals],[Winning Candidate]]-SamplingData[[#Totals],[Candidate 4]]), 0)</f>
        <v>0</v>
      </c>
      <c r="T116" s="100">
        <f>IF(AND(SamplingData[[#This Row],[Total]]&lt;&gt; 0, NOT(ISBLANK(SamplingData[[#This Row],[Candidate 5]]))),(SamplingData[[#This Row],[Total]]+SamplingData[[#This Row],[Winning Candidate]]-SamplingData[[#This Row],[Candidate 5]])/(SamplingData[[#Totals],[Winning Candidate]]-SamplingData[[#Totals],[Candidate 5]]), 0)</f>
        <v>0</v>
      </c>
      <c r="U116" s="100">
        <f>IF(AND(SamplingData[[#This Row],[Total]]&lt;&gt; 0, NOT(ISBLANK(SamplingData[[#This Row],[Candidate 6]]))),(SamplingData[[#This Row],[Total]]+SamplingData[[#This Row],[Losing Candidate]]-SamplingData[[#This Row],[Candidate 6]])/(SamplingData[[#Totals],[Winning Candidate]]-SamplingData[[#Totals],[Candidate 6]]), 0)</f>
        <v>0</v>
      </c>
      <c r="V116" s="100">
        <f>IF(AND(SamplingData[[#This Row],[Total]]&lt;&gt; 0, NOT(ISBLANK(SamplingData[[#This Row],[Candidate 7]]))),(SamplingData[[#This Row],[Total]]+SamplingData[[#This Row],[Winning Candidate]]-SamplingData[[#This Row],[Candidate 7]])/(SamplingData[[#Totals],[Winning Candidate]]-SamplingData[[#Totals],[Candidate 7]]), 0)</f>
        <v>0</v>
      </c>
      <c r="W116" s="100">
        <f>IF(AND(SamplingData[[#This Row],[Total]]&lt;&gt; 0, NOT(ISBLANK(SamplingData[[#This Row],[Candidate 8]]))),(SamplingData[[#This Row],[Total]]+SamplingData[[#This Row],[Winning Candidate]]-SamplingData[[#This Row],[Candidate 8]])/(SamplingData[[#Totals],[Winning Candidate]]-SamplingData[[#Totals],[Candidate 8]]), 0)</f>
        <v>0</v>
      </c>
      <c r="X1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6" s="100">
        <f>MAX(SamplingData[[#This Row],[Error Bound (up) - Max. possible relative overstatement - Losing Candidate]:[Error Bound (up) - Max. possible relative overstatement - Candidate 12]])</f>
        <v>2.2754566715125464E-3</v>
      </c>
      <c r="AC116" s="100">
        <f>IF(SamplingData[[#This Row],[Max Error Bound (up)]] = 0,0,SamplingData[[#This Row],[Max Error Bound (up)]]/SamplingData[[#Totals],[Max Error Bound (up)]])</f>
        <v>9.2350672039177872E-4</v>
      </c>
      <c r="AD116" s="104">
        <f>SUM($AC$5:AC116)</f>
        <v>0.12765738017672773</v>
      </c>
      <c r="AE116" s="100" t="str" cm="1">
        <f t="array" ref="AE116">IF(SamplingData[[#This Row],[up/U Selection Probability]] = 0, "Zero", TEXT(SamplingData[[#This Row],[Lower Range]], REPT("0",LEN('General Info'!$B$42))) &amp; " - " &amp; TEXT(SamplingData[[#This Row],[Upper Range]], REPT("0",LEN('General Info'!$B$42))))</f>
        <v>12673 - 12765</v>
      </c>
      <c r="AF116" s="100">
        <f>SamplingData[[#This Row],[Upper Range]]-SamplingData[[#This Row],[Span]]</f>
        <v>12673.387345633595</v>
      </c>
      <c r="AG116" s="100">
        <f>IF(ISNUMBER('General Info'!$B$42), ((SamplingData[[#This Row],[up/U Selection Probability]]) * 'General Info'!$B$44) - 1, 0)</f>
        <v>91.350672039177866</v>
      </c>
      <c r="AH116" s="100">
        <f>IF(ISNUMBER('General Info'!$B$42), (SamplingData[[#This Row],[Running (cumulative) sum]] * ('General Info'!$B$42 -'General Info'!$B$43 + 1)) + 'General Info'!$B$43 - 1, 0)</f>
        <v>12764.738017672773</v>
      </c>
      <c r="AI116" s="100" t="str">
        <f>IF(ISERROR(MATCH(SamplingData[[#This Row],[Batch by Type (p)]],SelectedPrecincts[Batch Name], 0)), "", INDEX(SelectedPrecincts[Draw], MATCH(SamplingData[[#This Row],[Batch by Type (p)]],SelectedPrecincts[Batch Name], 0)))</f>
        <v/>
      </c>
      <c r="AJ116" s="101">
        <f>IF(COUNTIF(SelectedPrecincts[Batch Name],SamplingData[[#This Row],[Batch by Type (p)]]) &lt;&gt; 0, COUNTIF(SelectedPrecincts[Batch Name],SamplingData[[#This Row],[Batch by Type (p)]]), 0)</f>
        <v>0</v>
      </c>
    </row>
    <row r="117" spans="1:36" ht="15" customHeight="1" x14ac:dyDescent="0.35">
      <c r="A117" s="98" t="s">
        <v>328</v>
      </c>
      <c r="B117" s="98">
        <v>5</v>
      </c>
      <c r="C117" s="98">
        <v>1</v>
      </c>
      <c r="D117" s="93">
        <v>0</v>
      </c>
      <c r="E117" s="93"/>
      <c r="F117" s="93"/>
      <c r="G117" s="97"/>
      <c r="H117" s="97"/>
      <c r="I117" s="93"/>
      <c r="J117" s="93"/>
      <c r="K117" s="93"/>
      <c r="L117" s="93"/>
      <c r="M117" s="93"/>
      <c r="N117" s="98">
        <v>0</v>
      </c>
      <c r="O117" s="98">
        <v>0</v>
      </c>
      <c r="P117" s="99">
        <f>SUM(SamplingData[[#This Row],[Winning Candidate]:[Under Votes]])</f>
        <v>6</v>
      </c>
      <c r="Q117" s="100">
        <f>IF(AND(SamplingData[[#This Row],[Total]]&lt;&gt; 0, NOT(ISBLANK(SamplingData[[#This Row],[Losing Candidate]]))),(SamplingData[[#This Row],[Total]]+SamplingData[[#This Row],[Winning Candidate]]-SamplingData[[#This Row],[Losing Candidate]])/(SamplingData[[#Totals],[Winning Candidate]]-SamplingData[[#Totals],[Losing Candidate]]), 0)</f>
        <v>6.3207129764237407E-4</v>
      </c>
      <c r="R117" s="100">
        <f>IF(AND(SamplingData[[#This Row],[Total]]&lt;&gt; 0, NOT(ISBLANK(SamplingData[[#This Row],[Candidate 3]]))),(SamplingData[[#This Row],[Total]]+SamplingData[[#This Row],[Winning Candidate]]-SamplingData[[#This Row],[Candidate 3]])/(SamplingData[[#Totals],[Winning Candidate]]-SamplingData[[#Totals],[Candidate 3]]), 0)</f>
        <v>6.2090765409799048E-4</v>
      </c>
      <c r="S117" s="100">
        <f>IF(AND(SamplingData[[#This Row],[Total]]&lt;&gt; 0, NOT(ISBLANK(SamplingData[[#This Row],[Candidate 4]]))),(SamplingData[[#This Row],[Total]]+SamplingData[[#This Row],[Winning Candidate]]-SamplingData[[#This Row],[Candidate 4]])/(SamplingData[[#Totals],[Winning Candidate]]-SamplingData[[#Totals],[Candidate 4]]), 0)</f>
        <v>0</v>
      </c>
      <c r="T117" s="100">
        <f>IF(AND(SamplingData[[#This Row],[Total]]&lt;&gt; 0, NOT(ISBLANK(SamplingData[[#This Row],[Candidate 5]]))),(SamplingData[[#This Row],[Total]]+SamplingData[[#This Row],[Winning Candidate]]-SamplingData[[#This Row],[Candidate 5]])/(SamplingData[[#Totals],[Winning Candidate]]-SamplingData[[#Totals],[Candidate 5]]), 0)</f>
        <v>0</v>
      </c>
      <c r="U117" s="100">
        <f>IF(AND(SamplingData[[#This Row],[Total]]&lt;&gt; 0, NOT(ISBLANK(SamplingData[[#This Row],[Candidate 6]]))),(SamplingData[[#This Row],[Total]]+SamplingData[[#This Row],[Losing Candidate]]-SamplingData[[#This Row],[Candidate 6]])/(SamplingData[[#Totals],[Winning Candidate]]-SamplingData[[#Totals],[Candidate 6]]), 0)</f>
        <v>0</v>
      </c>
      <c r="V117" s="100">
        <f>IF(AND(SamplingData[[#This Row],[Total]]&lt;&gt; 0, NOT(ISBLANK(SamplingData[[#This Row],[Candidate 7]]))),(SamplingData[[#This Row],[Total]]+SamplingData[[#This Row],[Winning Candidate]]-SamplingData[[#This Row],[Candidate 7]])/(SamplingData[[#Totals],[Winning Candidate]]-SamplingData[[#Totals],[Candidate 7]]), 0)</f>
        <v>0</v>
      </c>
      <c r="W117" s="100">
        <f>IF(AND(SamplingData[[#This Row],[Total]]&lt;&gt; 0, NOT(ISBLANK(SamplingData[[#This Row],[Candidate 8]]))),(SamplingData[[#This Row],[Total]]+SamplingData[[#This Row],[Winning Candidate]]-SamplingData[[#This Row],[Candidate 8]])/(SamplingData[[#Totals],[Winning Candidate]]-SamplingData[[#Totals],[Candidate 8]]), 0)</f>
        <v>0</v>
      </c>
      <c r="X1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7" s="100">
        <f>MAX(SamplingData[[#This Row],[Error Bound (up) - Max. possible relative overstatement - Losing Candidate]:[Error Bound (up) - Max. possible relative overstatement - Candidate 12]])</f>
        <v>6.3207129764237407E-4</v>
      </c>
      <c r="AC117" s="100">
        <f>IF(SamplingData[[#This Row],[Max Error Bound (up)]] = 0,0,SamplingData[[#This Row],[Max Error Bound (up)]]/SamplingData[[#Totals],[Max Error Bound (up)]])</f>
        <v>2.5652964455327189E-4</v>
      </c>
      <c r="AD117" s="104">
        <f>SUM($AC$5:AC117)</f>
        <v>0.12791390982128101</v>
      </c>
      <c r="AE117" s="100" t="str" cm="1">
        <f t="array" ref="AE117">IF(SamplingData[[#This Row],[up/U Selection Probability]] = 0, "Zero", TEXT(SamplingData[[#This Row],[Lower Range]], REPT("0",LEN('General Info'!$B$42))) &amp; " - " &amp; TEXT(SamplingData[[#This Row],[Upper Range]], REPT("0",LEN('General Info'!$B$42))))</f>
        <v>12766 - 12790</v>
      </c>
      <c r="AF117" s="100">
        <f>SamplingData[[#This Row],[Upper Range]]-SamplingData[[#This Row],[Span]]</f>
        <v>12765.738017672775</v>
      </c>
      <c r="AG117" s="100">
        <f>IF(ISNUMBER('General Info'!$B$42), ((SamplingData[[#This Row],[up/U Selection Probability]]) * 'General Info'!$B$44) - 1, 0)</f>
        <v>24.65296445532719</v>
      </c>
      <c r="AH117" s="100">
        <f>IF(ISNUMBER('General Info'!$B$42), (SamplingData[[#This Row],[Running (cumulative) sum]] * ('General Info'!$B$42 -'General Info'!$B$43 + 1)) + 'General Info'!$B$43 - 1, 0)</f>
        <v>12790.390982128101</v>
      </c>
      <c r="AI117" s="100" t="str">
        <f>IF(ISERROR(MATCH(SamplingData[[#This Row],[Batch by Type (p)]],SelectedPrecincts[Batch Name], 0)), "", INDEX(SelectedPrecincts[Draw], MATCH(SamplingData[[#This Row],[Batch by Type (p)]],SelectedPrecincts[Batch Name], 0)))</f>
        <v/>
      </c>
      <c r="AJ117" s="101">
        <f>IF(COUNTIF(SelectedPrecincts[Batch Name],SamplingData[[#This Row],[Batch by Type (p)]]) &lt;&gt; 0, COUNTIF(SelectedPrecincts[Batch Name],SamplingData[[#This Row],[Batch by Type (p)]]), 0)</f>
        <v>0</v>
      </c>
    </row>
    <row r="118" spans="1:36" ht="15" customHeight="1" x14ac:dyDescent="0.35">
      <c r="A118" s="98" t="s">
        <v>329</v>
      </c>
      <c r="B118" s="98">
        <v>15</v>
      </c>
      <c r="C118" s="98">
        <v>1</v>
      </c>
      <c r="D118" s="93">
        <v>0</v>
      </c>
      <c r="E118" s="93"/>
      <c r="F118" s="93"/>
      <c r="G118" s="97"/>
      <c r="H118" s="97"/>
      <c r="I118" s="93"/>
      <c r="J118" s="93"/>
      <c r="K118" s="93"/>
      <c r="L118" s="93"/>
      <c r="M118" s="93"/>
      <c r="N118" s="98">
        <v>0</v>
      </c>
      <c r="O118" s="98">
        <v>0</v>
      </c>
      <c r="P118" s="99">
        <f>SUM(SamplingData[[#This Row],[Winning Candidate]:[Under Votes]])</f>
        <v>16</v>
      </c>
      <c r="Q118" s="100">
        <f>IF(AND(SamplingData[[#This Row],[Total]]&lt;&gt; 0, NOT(ISBLANK(SamplingData[[#This Row],[Losing Candidate]]))),(SamplingData[[#This Row],[Total]]+SamplingData[[#This Row],[Winning Candidate]]-SamplingData[[#This Row],[Losing Candidate]])/(SamplingData[[#Totals],[Winning Candidate]]-SamplingData[[#Totals],[Losing Candidate]]), 0)</f>
        <v>1.8962138929271221E-3</v>
      </c>
      <c r="R118" s="100">
        <f>IF(AND(SamplingData[[#This Row],[Total]]&lt;&gt; 0, NOT(ISBLANK(SamplingData[[#This Row],[Candidate 3]]))),(SamplingData[[#This Row],[Total]]+SamplingData[[#This Row],[Winning Candidate]]-SamplingData[[#This Row],[Candidate 3]])/(SamplingData[[#Totals],[Winning Candidate]]-SamplingData[[#Totals],[Candidate 3]]), 0)</f>
        <v>1.7498306615488823E-3</v>
      </c>
      <c r="S118" s="100">
        <f>IF(AND(SamplingData[[#This Row],[Total]]&lt;&gt; 0, NOT(ISBLANK(SamplingData[[#This Row],[Candidate 4]]))),(SamplingData[[#This Row],[Total]]+SamplingData[[#This Row],[Winning Candidate]]-SamplingData[[#This Row],[Candidate 4]])/(SamplingData[[#Totals],[Winning Candidate]]-SamplingData[[#Totals],[Candidate 4]]), 0)</f>
        <v>0</v>
      </c>
      <c r="T118" s="100">
        <f>IF(AND(SamplingData[[#This Row],[Total]]&lt;&gt; 0, NOT(ISBLANK(SamplingData[[#This Row],[Candidate 5]]))),(SamplingData[[#This Row],[Total]]+SamplingData[[#This Row],[Winning Candidate]]-SamplingData[[#This Row],[Candidate 5]])/(SamplingData[[#Totals],[Winning Candidate]]-SamplingData[[#Totals],[Candidate 5]]), 0)</f>
        <v>0</v>
      </c>
      <c r="U118" s="100">
        <f>IF(AND(SamplingData[[#This Row],[Total]]&lt;&gt; 0, NOT(ISBLANK(SamplingData[[#This Row],[Candidate 6]]))),(SamplingData[[#This Row],[Total]]+SamplingData[[#This Row],[Losing Candidate]]-SamplingData[[#This Row],[Candidate 6]])/(SamplingData[[#Totals],[Winning Candidate]]-SamplingData[[#Totals],[Candidate 6]]), 0)</f>
        <v>0</v>
      </c>
      <c r="V118" s="100">
        <f>IF(AND(SamplingData[[#This Row],[Total]]&lt;&gt; 0, NOT(ISBLANK(SamplingData[[#This Row],[Candidate 7]]))),(SamplingData[[#This Row],[Total]]+SamplingData[[#This Row],[Winning Candidate]]-SamplingData[[#This Row],[Candidate 7]])/(SamplingData[[#Totals],[Winning Candidate]]-SamplingData[[#Totals],[Candidate 7]]), 0)</f>
        <v>0</v>
      </c>
      <c r="W118" s="100">
        <f>IF(AND(SamplingData[[#This Row],[Total]]&lt;&gt; 0, NOT(ISBLANK(SamplingData[[#This Row],[Candidate 8]]))),(SamplingData[[#This Row],[Total]]+SamplingData[[#This Row],[Winning Candidate]]-SamplingData[[#This Row],[Candidate 8]])/(SamplingData[[#Totals],[Winning Candidate]]-SamplingData[[#Totals],[Candidate 8]]), 0)</f>
        <v>0</v>
      </c>
      <c r="X1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8" s="100">
        <f>MAX(SamplingData[[#This Row],[Error Bound (up) - Max. possible relative overstatement - Losing Candidate]:[Error Bound (up) - Max. possible relative overstatement - Candidate 12]])</f>
        <v>1.8962138929271221E-3</v>
      </c>
      <c r="AC118" s="100">
        <f>IF(SamplingData[[#This Row],[Max Error Bound (up)]] = 0,0,SamplingData[[#This Row],[Max Error Bound (up)]]/SamplingData[[#Totals],[Max Error Bound (up)]])</f>
        <v>7.6958893365981567E-4</v>
      </c>
      <c r="AD118" s="104">
        <f>SUM($AC$5:AC118)</f>
        <v>0.12868349875494081</v>
      </c>
      <c r="AE118" s="100" t="str" cm="1">
        <f t="array" ref="AE118">IF(SamplingData[[#This Row],[up/U Selection Probability]] = 0, "Zero", TEXT(SamplingData[[#This Row],[Lower Range]], REPT("0",LEN('General Info'!$B$42))) &amp; " - " &amp; TEXT(SamplingData[[#This Row],[Upper Range]], REPT("0",LEN('General Info'!$B$42))))</f>
        <v>12791 - 12867</v>
      </c>
      <c r="AF118" s="100">
        <f>SamplingData[[#This Row],[Upper Range]]-SamplingData[[#This Row],[Span]]</f>
        <v>12791.390982128099</v>
      </c>
      <c r="AG118" s="100">
        <f>IF(ISNUMBER('General Info'!$B$42), ((SamplingData[[#This Row],[up/U Selection Probability]]) * 'General Info'!$B$44) - 1, 0)</f>
        <v>75.958893365981567</v>
      </c>
      <c r="AH118" s="100">
        <f>IF(ISNUMBER('General Info'!$B$42), (SamplingData[[#This Row],[Running (cumulative) sum]] * ('General Info'!$B$42 -'General Info'!$B$43 + 1)) + 'General Info'!$B$43 - 1, 0)</f>
        <v>12867.349875494081</v>
      </c>
      <c r="AI118" s="100" t="str">
        <f>IF(ISERROR(MATCH(SamplingData[[#This Row],[Batch by Type (p)]],SelectedPrecincts[Batch Name], 0)), "", INDEX(SelectedPrecincts[Draw], MATCH(SamplingData[[#This Row],[Batch by Type (p)]],SelectedPrecincts[Batch Name], 0)))</f>
        <v/>
      </c>
      <c r="AJ118" s="101">
        <f>IF(COUNTIF(SelectedPrecincts[Batch Name],SamplingData[[#This Row],[Batch by Type (p)]]) &lt;&gt; 0, COUNTIF(SelectedPrecincts[Batch Name],SamplingData[[#This Row],[Batch by Type (p)]]), 0)</f>
        <v>0</v>
      </c>
    </row>
    <row r="119" spans="1:36" ht="15" customHeight="1" x14ac:dyDescent="0.35">
      <c r="A119" s="98" t="s">
        <v>330</v>
      </c>
      <c r="B119" s="98">
        <v>6</v>
      </c>
      <c r="C119" s="98">
        <v>0</v>
      </c>
      <c r="D119" s="93">
        <v>0</v>
      </c>
      <c r="E119" s="93"/>
      <c r="F119" s="93"/>
      <c r="G119" s="97"/>
      <c r="H119" s="97"/>
      <c r="I119" s="93"/>
      <c r="J119" s="93"/>
      <c r="K119" s="93"/>
      <c r="L119" s="93"/>
      <c r="M119" s="93"/>
      <c r="N119" s="98">
        <v>0</v>
      </c>
      <c r="O119" s="98">
        <v>0</v>
      </c>
      <c r="P119" s="99">
        <f>SUM(SamplingData[[#This Row],[Winning Candidate]:[Under Votes]])</f>
        <v>6</v>
      </c>
      <c r="Q119"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19" s="100">
        <f>IF(AND(SamplingData[[#This Row],[Total]]&lt;&gt; 0, NOT(ISBLANK(SamplingData[[#This Row],[Candidate 3]]))),(SamplingData[[#This Row],[Total]]+SamplingData[[#This Row],[Winning Candidate]]-SamplingData[[#This Row],[Candidate 3]])/(SamplingData[[#Totals],[Winning Candidate]]-SamplingData[[#Totals],[Candidate 3]]), 0)</f>
        <v>6.7735380447053511E-4</v>
      </c>
      <c r="S119" s="100">
        <f>IF(AND(SamplingData[[#This Row],[Total]]&lt;&gt; 0, NOT(ISBLANK(SamplingData[[#This Row],[Candidate 4]]))),(SamplingData[[#This Row],[Total]]+SamplingData[[#This Row],[Winning Candidate]]-SamplingData[[#This Row],[Candidate 4]])/(SamplingData[[#Totals],[Winning Candidate]]-SamplingData[[#Totals],[Candidate 4]]), 0)</f>
        <v>0</v>
      </c>
      <c r="T119" s="100">
        <f>IF(AND(SamplingData[[#This Row],[Total]]&lt;&gt; 0, NOT(ISBLANK(SamplingData[[#This Row],[Candidate 5]]))),(SamplingData[[#This Row],[Total]]+SamplingData[[#This Row],[Winning Candidate]]-SamplingData[[#This Row],[Candidate 5]])/(SamplingData[[#Totals],[Winning Candidate]]-SamplingData[[#Totals],[Candidate 5]]), 0)</f>
        <v>0</v>
      </c>
      <c r="U119" s="100">
        <f>IF(AND(SamplingData[[#This Row],[Total]]&lt;&gt; 0, NOT(ISBLANK(SamplingData[[#This Row],[Candidate 6]]))),(SamplingData[[#This Row],[Total]]+SamplingData[[#This Row],[Losing Candidate]]-SamplingData[[#This Row],[Candidate 6]])/(SamplingData[[#Totals],[Winning Candidate]]-SamplingData[[#Totals],[Candidate 6]]), 0)</f>
        <v>0</v>
      </c>
      <c r="V119" s="100">
        <f>IF(AND(SamplingData[[#This Row],[Total]]&lt;&gt; 0, NOT(ISBLANK(SamplingData[[#This Row],[Candidate 7]]))),(SamplingData[[#This Row],[Total]]+SamplingData[[#This Row],[Winning Candidate]]-SamplingData[[#This Row],[Candidate 7]])/(SamplingData[[#Totals],[Winning Candidate]]-SamplingData[[#Totals],[Candidate 7]]), 0)</f>
        <v>0</v>
      </c>
      <c r="W119" s="100">
        <f>IF(AND(SamplingData[[#This Row],[Total]]&lt;&gt; 0, NOT(ISBLANK(SamplingData[[#This Row],[Candidate 8]]))),(SamplingData[[#This Row],[Total]]+SamplingData[[#This Row],[Winning Candidate]]-SamplingData[[#This Row],[Candidate 8]])/(SamplingData[[#Totals],[Winning Candidate]]-SamplingData[[#Totals],[Candidate 8]]), 0)</f>
        <v>0</v>
      </c>
      <c r="X1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9" s="100">
        <f>MAX(SamplingData[[#This Row],[Error Bound (up) - Max. possible relative overstatement - Losing Candidate]:[Error Bound (up) - Max. possible relative overstatement - Candidate 12]])</f>
        <v>7.5848555717084889E-4</v>
      </c>
      <c r="AC119" s="100">
        <f>IF(SamplingData[[#This Row],[Max Error Bound (up)]] = 0,0,SamplingData[[#This Row],[Max Error Bound (up)]]/SamplingData[[#Totals],[Max Error Bound (up)]])</f>
        <v>3.0783557346392626E-4</v>
      </c>
      <c r="AD119" s="104">
        <f>SUM($AC$5:AC119)</f>
        <v>0.12899133432840473</v>
      </c>
      <c r="AE119" s="100" t="str" cm="1">
        <f t="array" ref="AE119">IF(SamplingData[[#This Row],[up/U Selection Probability]] = 0, "Zero", TEXT(SamplingData[[#This Row],[Lower Range]], REPT("0",LEN('General Info'!$B$42))) &amp; " - " &amp; TEXT(SamplingData[[#This Row],[Upper Range]], REPT("0",LEN('General Info'!$B$42))))</f>
        <v>12868 - 12898</v>
      </c>
      <c r="AF119" s="100">
        <f>SamplingData[[#This Row],[Upper Range]]-SamplingData[[#This Row],[Span]]</f>
        <v>12868.349875494081</v>
      </c>
      <c r="AG119" s="100">
        <f>IF(ISNUMBER('General Info'!$B$42), ((SamplingData[[#This Row],[up/U Selection Probability]]) * 'General Info'!$B$44) - 1, 0)</f>
        <v>29.783557346392627</v>
      </c>
      <c r="AH119" s="100">
        <f>IF(ISNUMBER('General Info'!$B$42), (SamplingData[[#This Row],[Running (cumulative) sum]] * ('General Info'!$B$42 -'General Info'!$B$43 + 1)) + 'General Info'!$B$43 - 1, 0)</f>
        <v>12898.133432840474</v>
      </c>
      <c r="AI119" s="100" t="str">
        <f>IF(ISERROR(MATCH(SamplingData[[#This Row],[Batch by Type (p)]],SelectedPrecincts[Batch Name], 0)), "", INDEX(SelectedPrecincts[Draw], MATCH(SamplingData[[#This Row],[Batch by Type (p)]],SelectedPrecincts[Batch Name], 0)))</f>
        <v/>
      </c>
      <c r="AJ119" s="101">
        <f>IF(COUNTIF(SelectedPrecincts[Batch Name],SamplingData[[#This Row],[Batch by Type (p)]]) &lt;&gt; 0, COUNTIF(SelectedPrecincts[Batch Name],SamplingData[[#This Row],[Batch by Type (p)]]), 0)</f>
        <v>0</v>
      </c>
    </row>
    <row r="120" spans="1:36" ht="15" customHeight="1" x14ac:dyDescent="0.35">
      <c r="A120" s="98" t="s">
        <v>331</v>
      </c>
      <c r="B120" s="98">
        <v>6</v>
      </c>
      <c r="C120" s="98">
        <v>0</v>
      </c>
      <c r="D120" s="93">
        <v>1</v>
      </c>
      <c r="E120" s="93"/>
      <c r="F120" s="93"/>
      <c r="G120" s="97"/>
      <c r="H120" s="97"/>
      <c r="I120" s="93"/>
      <c r="J120" s="93"/>
      <c r="K120" s="93"/>
      <c r="L120" s="93"/>
      <c r="M120" s="93"/>
      <c r="N120" s="98">
        <v>0</v>
      </c>
      <c r="O120" s="98">
        <v>0</v>
      </c>
      <c r="P120" s="99">
        <f>SUM(SamplingData[[#This Row],[Winning Candidate]:[Under Votes]])</f>
        <v>7</v>
      </c>
      <c r="Q120" s="100">
        <f>IF(AND(SamplingData[[#This Row],[Total]]&lt;&gt; 0, NOT(ISBLANK(SamplingData[[#This Row],[Losing Candidate]]))),(SamplingData[[#This Row],[Total]]+SamplingData[[#This Row],[Winning Candidate]]-SamplingData[[#This Row],[Losing Candidate]])/(SamplingData[[#Totals],[Winning Candidate]]-SamplingData[[#Totals],[Losing Candidate]]), 0)</f>
        <v>8.2169268693508624E-4</v>
      </c>
      <c r="R120" s="100">
        <f>IF(AND(SamplingData[[#This Row],[Total]]&lt;&gt; 0, NOT(ISBLANK(SamplingData[[#This Row],[Candidate 3]]))),(SamplingData[[#This Row],[Total]]+SamplingData[[#This Row],[Winning Candidate]]-SamplingData[[#This Row],[Candidate 3]])/(SamplingData[[#Totals],[Winning Candidate]]-SamplingData[[#Totals],[Candidate 3]]), 0)</f>
        <v>6.7735380447053511E-4</v>
      </c>
      <c r="S120" s="100">
        <f>IF(AND(SamplingData[[#This Row],[Total]]&lt;&gt; 0, NOT(ISBLANK(SamplingData[[#This Row],[Candidate 4]]))),(SamplingData[[#This Row],[Total]]+SamplingData[[#This Row],[Winning Candidate]]-SamplingData[[#This Row],[Candidate 4]])/(SamplingData[[#Totals],[Winning Candidate]]-SamplingData[[#Totals],[Candidate 4]]), 0)</f>
        <v>0</v>
      </c>
      <c r="T120" s="100">
        <f>IF(AND(SamplingData[[#This Row],[Total]]&lt;&gt; 0, NOT(ISBLANK(SamplingData[[#This Row],[Candidate 5]]))),(SamplingData[[#This Row],[Total]]+SamplingData[[#This Row],[Winning Candidate]]-SamplingData[[#This Row],[Candidate 5]])/(SamplingData[[#Totals],[Winning Candidate]]-SamplingData[[#Totals],[Candidate 5]]), 0)</f>
        <v>0</v>
      </c>
      <c r="U120" s="100">
        <f>IF(AND(SamplingData[[#This Row],[Total]]&lt;&gt; 0, NOT(ISBLANK(SamplingData[[#This Row],[Candidate 6]]))),(SamplingData[[#This Row],[Total]]+SamplingData[[#This Row],[Losing Candidate]]-SamplingData[[#This Row],[Candidate 6]])/(SamplingData[[#Totals],[Winning Candidate]]-SamplingData[[#Totals],[Candidate 6]]), 0)</f>
        <v>0</v>
      </c>
      <c r="V120" s="100">
        <f>IF(AND(SamplingData[[#This Row],[Total]]&lt;&gt; 0, NOT(ISBLANK(SamplingData[[#This Row],[Candidate 7]]))),(SamplingData[[#This Row],[Total]]+SamplingData[[#This Row],[Winning Candidate]]-SamplingData[[#This Row],[Candidate 7]])/(SamplingData[[#Totals],[Winning Candidate]]-SamplingData[[#Totals],[Candidate 7]]), 0)</f>
        <v>0</v>
      </c>
      <c r="W120" s="100">
        <f>IF(AND(SamplingData[[#This Row],[Total]]&lt;&gt; 0, NOT(ISBLANK(SamplingData[[#This Row],[Candidate 8]]))),(SamplingData[[#This Row],[Total]]+SamplingData[[#This Row],[Winning Candidate]]-SamplingData[[#This Row],[Candidate 8]])/(SamplingData[[#Totals],[Winning Candidate]]-SamplingData[[#Totals],[Candidate 8]]), 0)</f>
        <v>0</v>
      </c>
      <c r="X1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0" s="100">
        <f>MAX(SamplingData[[#This Row],[Error Bound (up) - Max. possible relative overstatement - Losing Candidate]:[Error Bound (up) - Max. possible relative overstatement - Candidate 12]])</f>
        <v>8.2169268693508624E-4</v>
      </c>
      <c r="AC120" s="100">
        <f>IF(SamplingData[[#This Row],[Max Error Bound (up)]] = 0,0,SamplingData[[#This Row],[Max Error Bound (up)]]/SamplingData[[#Totals],[Max Error Bound (up)]])</f>
        <v>3.3348853791925341E-4</v>
      </c>
      <c r="AD120" s="104">
        <f>SUM($AC$5:AC120)</f>
        <v>0.12932482286632399</v>
      </c>
      <c r="AE120" s="100" t="str" cm="1">
        <f t="array" ref="AE120">IF(SamplingData[[#This Row],[up/U Selection Probability]] = 0, "Zero", TEXT(SamplingData[[#This Row],[Lower Range]], REPT("0",LEN('General Info'!$B$42))) &amp; " - " &amp; TEXT(SamplingData[[#This Row],[Upper Range]], REPT("0",LEN('General Info'!$B$42))))</f>
        <v>12899 - 12931</v>
      </c>
      <c r="AF120" s="100">
        <f>SamplingData[[#This Row],[Upper Range]]-SamplingData[[#This Row],[Span]]</f>
        <v>12899.133432840474</v>
      </c>
      <c r="AG120" s="100">
        <f>IF(ISNUMBER('General Info'!$B$42), ((SamplingData[[#This Row],[up/U Selection Probability]]) * 'General Info'!$B$44) - 1, 0)</f>
        <v>32.348853791925343</v>
      </c>
      <c r="AH120" s="100">
        <f>IF(ISNUMBER('General Info'!$B$42), (SamplingData[[#This Row],[Running (cumulative) sum]] * ('General Info'!$B$42 -'General Info'!$B$43 + 1)) + 'General Info'!$B$43 - 1, 0)</f>
        <v>12931.482286632399</v>
      </c>
      <c r="AI120" s="100" t="str">
        <f>IF(ISERROR(MATCH(SamplingData[[#This Row],[Batch by Type (p)]],SelectedPrecincts[Batch Name], 0)), "", INDEX(SelectedPrecincts[Draw], MATCH(SamplingData[[#This Row],[Batch by Type (p)]],SelectedPrecincts[Batch Name], 0)))</f>
        <v/>
      </c>
      <c r="AJ120" s="101">
        <f>IF(COUNTIF(SelectedPrecincts[Batch Name],SamplingData[[#This Row],[Batch by Type (p)]]) &lt;&gt; 0, COUNTIF(SelectedPrecincts[Batch Name],SamplingData[[#This Row],[Batch by Type (p)]]), 0)</f>
        <v>0</v>
      </c>
    </row>
    <row r="121" spans="1:36" ht="15" customHeight="1" x14ac:dyDescent="0.35">
      <c r="A121" s="98" t="s">
        <v>332</v>
      </c>
      <c r="B121" s="98">
        <v>1</v>
      </c>
      <c r="C121" s="98">
        <v>5</v>
      </c>
      <c r="D121" s="93">
        <v>0</v>
      </c>
      <c r="E121" s="93"/>
      <c r="F121" s="93"/>
      <c r="G121" s="97"/>
      <c r="H121" s="97"/>
      <c r="I121" s="93"/>
      <c r="J121" s="93"/>
      <c r="K121" s="93"/>
      <c r="L121" s="93"/>
      <c r="M121" s="93"/>
      <c r="N121" s="98">
        <v>0</v>
      </c>
      <c r="O121" s="98">
        <v>0</v>
      </c>
      <c r="P121" s="99">
        <f>SUM(SamplingData[[#This Row],[Winning Candidate]:[Under Votes]])</f>
        <v>6</v>
      </c>
      <c r="Q121"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121" s="100">
        <f>IF(AND(SamplingData[[#This Row],[Total]]&lt;&gt; 0, NOT(ISBLANK(SamplingData[[#This Row],[Candidate 3]]))),(SamplingData[[#This Row],[Total]]+SamplingData[[#This Row],[Winning Candidate]]-SamplingData[[#This Row],[Candidate 3]])/(SamplingData[[#Totals],[Winning Candidate]]-SamplingData[[#Totals],[Candidate 3]]), 0)</f>
        <v>3.9512305260781214E-4</v>
      </c>
      <c r="S121" s="100">
        <f>IF(AND(SamplingData[[#This Row],[Total]]&lt;&gt; 0, NOT(ISBLANK(SamplingData[[#This Row],[Candidate 4]]))),(SamplingData[[#This Row],[Total]]+SamplingData[[#This Row],[Winning Candidate]]-SamplingData[[#This Row],[Candidate 4]])/(SamplingData[[#Totals],[Winning Candidate]]-SamplingData[[#Totals],[Candidate 4]]), 0)</f>
        <v>0</v>
      </c>
      <c r="T121" s="100">
        <f>IF(AND(SamplingData[[#This Row],[Total]]&lt;&gt; 0, NOT(ISBLANK(SamplingData[[#This Row],[Candidate 5]]))),(SamplingData[[#This Row],[Total]]+SamplingData[[#This Row],[Winning Candidate]]-SamplingData[[#This Row],[Candidate 5]])/(SamplingData[[#Totals],[Winning Candidate]]-SamplingData[[#Totals],[Candidate 5]]), 0)</f>
        <v>0</v>
      </c>
      <c r="U121" s="100">
        <f>IF(AND(SamplingData[[#This Row],[Total]]&lt;&gt; 0, NOT(ISBLANK(SamplingData[[#This Row],[Candidate 6]]))),(SamplingData[[#This Row],[Total]]+SamplingData[[#This Row],[Losing Candidate]]-SamplingData[[#This Row],[Candidate 6]])/(SamplingData[[#Totals],[Winning Candidate]]-SamplingData[[#Totals],[Candidate 6]]), 0)</f>
        <v>0</v>
      </c>
      <c r="V121" s="100">
        <f>IF(AND(SamplingData[[#This Row],[Total]]&lt;&gt; 0, NOT(ISBLANK(SamplingData[[#This Row],[Candidate 7]]))),(SamplingData[[#This Row],[Total]]+SamplingData[[#This Row],[Winning Candidate]]-SamplingData[[#This Row],[Candidate 7]])/(SamplingData[[#Totals],[Winning Candidate]]-SamplingData[[#Totals],[Candidate 7]]), 0)</f>
        <v>0</v>
      </c>
      <c r="W121" s="100">
        <f>IF(AND(SamplingData[[#This Row],[Total]]&lt;&gt; 0, NOT(ISBLANK(SamplingData[[#This Row],[Candidate 8]]))),(SamplingData[[#This Row],[Total]]+SamplingData[[#This Row],[Winning Candidate]]-SamplingData[[#This Row],[Candidate 8]])/(SamplingData[[#Totals],[Winning Candidate]]-SamplingData[[#Totals],[Candidate 8]]), 0)</f>
        <v>0</v>
      </c>
      <c r="X1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1" s="100">
        <f>MAX(SamplingData[[#This Row],[Error Bound (up) - Max. possible relative overstatement - Losing Candidate]:[Error Bound (up) - Max. possible relative overstatement - Candidate 12]])</f>
        <v>3.9512305260781214E-4</v>
      </c>
      <c r="AC121" s="100">
        <f>IF(SamplingData[[#This Row],[Max Error Bound (up)]] = 0,0,SamplingData[[#This Row],[Max Error Bound (up)]]/SamplingData[[#Totals],[Max Error Bound (up)]])</f>
        <v>1.6036288408975615E-4</v>
      </c>
      <c r="AD121" s="104">
        <f>SUM($AC$5:AC121)</f>
        <v>0.12948518575041373</v>
      </c>
      <c r="AE121" s="100" t="str" cm="1">
        <f t="array" ref="AE121">IF(SamplingData[[#This Row],[up/U Selection Probability]] = 0, "Zero", TEXT(SamplingData[[#This Row],[Lower Range]], REPT("0",LEN('General Info'!$B$42))) &amp; " - " &amp; TEXT(SamplingData[[#This Row],[Upper Range]], REPT("0",LEN('General Info'!$B$42))))</f>
        <v>12932 - 12948</v>
      </c>
      <c r="AF121" s="100">
        <f>SamplingData[[#This Row],[Upper Range]]-SamplingData[[#This Row],[Span]]</f>
        <v>12932.482286632398</v>
      </c>
      <c r="AG121" s="100">
        <f>IF(ISNUMBER('General Info'!$B$42), ((SamplingData[[#This Row],[up/U Selection Probability]]) * 'General Info'!$B$44) - 1, 0)</f>
        <v>15.036288408975615</v>
      </c>
      <c r="AH121" s="100">
        <f>IF(ISNUMBER('General Info'!$B$42), (SamplingData[[#This Row],[Running (cumulative) sum]] * ('General Info'!$B$42 -'General Info'!$B$43 + 1)) + 'General Info'!$B$43 - 1, 0)</f>
        <v>12947.518575041373</v>
      </c>
      <c r="AI121" s="100" t="str">
        <f>IF(ISERROR(MATCH(SamplingData[[#This Row],[Batch by Type (p)]],SelectedPrecincts[Batch Name], 0)), "", INDEX(SelectedPrecincts[Draw], MATCH(SamplingData[[#This Row],[Batch by Type (p)]],SelectedPrecincts[Batch Name], 0)))</f>
        <v/>
      </c>
      <c r="AJ121" s="101">
        <f>IF(COUNTIF(SelectedPrecincts[Batch Name],SamplingData[[#This Row],[Batch by Type (p)]]) &lt;&gt; 0, COUNTIF(SelectedPrecincts[Batch Name],SamplingData[[#This Row],[Batch by Type (p)]]), 0)</f>
        <v>0</v>
      </c>
    </row>
    <row r="122" spans="1:36" ht="15" customHeight="1" x14ac:dyDescent="0.35">
      <c r="A122" s="98" t="s">
        <v>333</v>
      </c>
      <c r="B122" s="98">
        <v>5</v>
      </c>
      <c r="C122" s="98">
        <v>4</v>
      </c>
      <c r="D122" s="93">
        <v>3</v>
      </c>
      <c r="E122" s="93"/>
      <c r="F122" s="93"/>
      <c r="G122" s="97"/>
      <c r="H122" s="97"/>
      <c r="I122" s="93"/>
      <c r="J122" s="93"/>
      <c r="K122" s="93"/>
      <c r="L122" s="93"/>
      <c r="M122" s="93"/>
      <c r="N122" s="98">
        <v>0</v>
      </c>
      <c r="O122" s="98">
        <v>0</v>
      </c>
      <c r="P122" s="99">
        <f>SUM(SamplingData[[#This Row],[Winning Candidate]:[Under Votes]])</f>
        <v>12</v>
      </c>
      <c r="Q122" s="100">
        <f>IF(AND(SamplingData[[#This Row],[Total]]&lt;&gt; 0, NOT(ISBLANK(SamplingData[[#This Row],[Losing Candidate]]))),(SamplingData[[#This Row],[Total]]+SamplingData[[#This Row],[Winning Candidate]]-SamplingData[[#This Row],[Losing Candidate]])/(SamplingData[[#Totals],[Winning Candidate]]-SamplingData[[#Totals],[Losing Candidate]]), 0)</f>
        <v>8.2169268693508624E-4</v>
      </c>
      <c r="R122" s="100">
        <f>IF(AND(SamplingData[[#This Row],[Total]]&lt;&gt; 0, NOT(ISBLANK(SamplingData[[#This Row],[Candidate 3]]))),(SamplingData[[#This Row],[Total]]+SamplingData[[#This Row],[Winning Candidate]]-SamplingData[[#This Row],[Candidate 3]])/(SamplingData[[#Totals],[Winning Candidate]]-SamplingData[[#Totals],[Candidate 3]]), 0)</f>
        <v>7.9024610521562428E-4</v>
      </c>
      <c r="S122" s="100">
        <f>IF(AND(SamplingData[[#This Row],[Total]]&lt;&gt; 0, NOT(ISBLANK(SamplingData[[#This Row],[Candidate 4]]))),(SamplingData[[#This Row],[Total]]+SamplingData[[#This Row],[Winning Candidate]]-SamplingData[[#This Row],[Candidate 4]])/(SamplingData[[#Totals],[Winning Candidate]]-SamplingData[[#Totals],[Candidate 4]]), 0)</f>
        <v>0</v>
      </c>
      <c r="T122" s="100">
        <f>IF(AND(SamplingData[[#This Row],[Total]]&lt;&gt; 0, NOT(ISBLANK(SamplingData[[#This Row],[Candidate 5]]))),(SamplingData[[#This Row],[Total]]+SamplingData[[#This Row],[Winning Candidate]]-SamplingData[[#This Row],[Candidate 5]])/(SamplingData[[#Totals],[Winning Candidate]]-SamplingData[[#Totals],[Candidate 5]]), 0)</f>
        <v>0</v>
      </c>
      <c r="U122" s="100">
        <f>IF(AND(SamplingData[[#This Row],[Total]]&lt;&gt; 0, NOT(ISBLANK(SamplingData[[#This Row],[Candidate 6]]))),(SamplingData[[#This Row],[Total]]+SamplingData[[#This Row],[Losing Candidate]]-SamplingData[[#This Row],[Candidate 6]])/(SamplingData[[#Totals],[Winning Candidate]]-SamplingData[[#Totals],[Candidate 6]]), 0)</f>
        <v>0</v>
      </c>
      <c r="V122" s="100">
        <f>IF(AND(SamplingData[[#This Row],[Total]]&lt;&gt; 0, NOT(ISBLANK(SamplingData[[#This Row],[Candidate 7]]))),(SamplingData[[#This Row],[Total]]+SamplingData[[#This Row],[Winning Candidate]]-SamplingData[[#This Row],[Candidate 7]])/(SamplingData[[#Totals],[Winning Candidate]]-SamplingData[[#Totals],[Candidate 7]]), 0)</f>
        <v>0</v>
      </c>
      <c r="W122" s="100">
        <f>IF(AND(SamplingData[[#This Row],[Total]]&lt;&gt; 0, NOT(ISBLANK(SamplingData[[#This Row],[Candidate 8]]))),(SamplingData[[#This Row],[Total]]+SamplingData[[#This Row],[Winning Candidate]]-SamplingData[[#This Row],[Candidate 8]])/(SamplingData[[#Totals],[Winning Candidate]]-SamplingData[[#Totals],[Candidate 8]]), 0)</f>
        <v>0</v>
      </c>
      <c r="X1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2" s="100">
        <f>MAX(SamplingData[[#This Row],[Error Bound (up) - Max. possible relative overstatement - Losing Candidate]:[Error Bound (up) - Max. possible relative overstatement - Candidate 12]])</f>
        <v>8.2169268693508624E-4</v>
      </c>
      <c r="AC122" s="100">
        <f>IF(SamplingData[[#This Row],[Max Error Bound (up)]] = 0,0,SamplingData[[#This Row],[Max Error Bound (up)]]/SamplingData[[#Totals],[Max Error Bound (up)]])</f>
        <v>3.3348853791925341E-4</v>
      </c>
      <c r="AD122" s="104">
        <f>SUM($AC$5:AC122)</f>
        <v>0.12981867428833299</v>
      </c>
      <c r="AE122" s="100" t="str" cm="1">
        <f t="array" ref="AE122">IF(SamplingData[[#This Row],[up/U Selection Probability]] = 0, "Zero", TEXT(SamplingData[[#This Row],[Lower Range]], REPT("0",LEN('General Info'!$B$42))) &amp; " - " &amp; TEXT(SamplingData[[#This Row],[Upper Range]], REPT("0",LEN('General Info'!$B$42))))</f>
        <v>12949 - 12981</v>
      </c>
      <c r="AF122" s="100">
        <f>SamplingData[[#This Row],[Upper Range]]-SamplingData[[#This Row],[Span]]</f>
        <v>12948.518575041373</v>
      </c>
      <c r="AG122" s="100">
        <f>IF(ISNUMBER('General Info'!$B$42), ((SamplingData[[#This Row],[up/U Selection Probability]]) * 'General Info'!$B$44) - 1, 0)</f>
        <v>32.348853791925343</v>
      </c>
      <c r="AH122" s="100">
        <f>IF(ISNUMBER('General Info'!$B$42), (SamplingData[[#This Row],[Running (cumulative) sum]] * ('General Info'!$B$42 -'General Info'!$B$43 + 1)) + 'General Info'!$B$43 - 1, 0)</f>
        <v>12980.867428833299</v>
      </c>
      <c r="AI122" s="100" t="str">
        <f>IF(ISERROR(MATCH(SamplingData[[#This Row],[Batch by Type (p)]],SelectedPrecincts[Batch Name], 0)), "", INDEX(SelectedPrecincts[Draw], MATCH(SamplingData[[#This Row],[Batch by Type (p)]],SelectedPrecincts[Batch Name], 0)))</f>
        <v/>
      </c>
      <c r="AJ122" s="101">
        <f>IF(COUNTIF(SelectedPrecincts[Batch Name],SamplingData[[#This Row],[Batch by Type (p)]]) &lt;&gt; 0, COUNTIF(SelectedPrecincts[Batch Name],SamplingData[[#This Row],[Batch by Type (p)]]), 0)</f>
        <v>0</v>
      </c>
    </row>
    <row r="123" spans="1:36" ht="15" customHeight="1" x14ac:dyDescent="0.35">
      <c r="A123" s="98" t="s">
        <v>334</v>
      </c>
      <c r="B123" s="98">
        <v>0</v>
      </c>
      <c r="C123" s="98">
        <v>1</v>
      </c>
      <c r="D123" s="93">
        <v>0</v>
      </c>
      <c r="E123" s="93"/>
      <c r="F123" s="93"/>
      <c r="G123" s="97"/>
      <c r="H123" s="97"/>
      <c r="I123" s="93"/>
      <c r="J123" s="93"/>
      <c r="K123" s="93"/>
      <c r="L123" s="93"/>
      <c r="M123" s="93"/>
      <c r="N123" s="98">
        <v>0</v>
      </c>
      <c r="O123" s="98">
        <v>0</v>
      </c>
      <c r="P123" s="99">
        <f>SUM(SamplingData[[#This Row],[Winning Candidate]:[Under Votes]])</f>
        <v>1</v>
      </c>
      <c r="Q123" s="100">
        <f>IF(AND(SamplingData[[#This Row],[Total]]&lt;&gt; 0, NOT(ISBLANK(SamplingData[[#This Row],[Losing Candidate]]))),(SamplingData[[#This Row],[Total]]+SamplingData[[#This Row],[Winning Candidate]]-SamplingData[[#This Row],[Losing Candidate]])/(SamplingData[[#Totals],[Winning Candidate]]-SamplingData[[#Totals],[Losing Candidate]]), 0)</f>
        <v>0</v>
      </c>
      <c r="R123" s="100">
        <f>IF(AND(SamplingData[[#This Row],[Total]]&lt;&gt; 0, NOT(ISBLANK(SamplingData[[#This Row],[Candidate 3]]))),(SamplingData[[#This Row],[Total]]+SamplingData[[#This Row],[Winning Candidate]]-SamplingData[[#This Row],[Candidate 3]])/(SamplingData[[#Totals],[Winning Candidate]]-SamplingData[[#Totals],[Candidate 3]]), 0)</f>
        <v>5.6446150372544591E-5</v>
      </c>
      <c r="S123" s="100">
        <f>IF(AND(SamplingData[[#This Row],[Total]]&lt;&gt; 0, NOT(ISBLANK(SamplingData[[#This Row],[Candidate 4]]))),(SamplingData[[#This Row],[Total]]+SamplingData[[#This Row],[Winning Candidate]]-SamplingData[[#This Row],[Candidate 4]])/(SamplingData[[#Totals],[Winning Candidate]]-SamplingData[[#Totals],[Candidate 4]]), 0)</f>
        <v>0</v>
      </c>
      <c r="T123" s="100">
        <f>IF(AND(SamplingData[[#This Row],[Total]]&lt;&gt; 0, NOT(ISBLANK(SamplingData[[#This Row],[Candidate 5]]))),(SamplingData[[#This Row],[Total]]+SamplingData[[#This Row],[Winning Candidate]]-SamplingData[[#This Row],[Candidate 5]])/(SamplingData[[#Totals],[Winning Candidate]]-SamplingData[[#Totals],[Candidate 5]]), 0)</f>
        <v>0</v>
      </c>
      <c r="U123" s="100">
        <f>IF(AND(SamplingData[[#This Row],[Total]]&lt;&gt; 0, NOT(ISBLANK(SamplingData[[#This Row],[Candidate 6]]))),(SamplingData[[#This Row],[Total]]+SamplingData[[#This Row],[Losing Candidate]]-SamplingData[[#This Row],[Candidate 6]])/(SamplingData[[#Totals],[Winning Candidate]]-SamplingData[[#Totals],[Candidate 6]]), 0)</f>
        <v>0</v>
      </c>
      <c r="V123" s="100">
        <f>IF(AND(SamplingData[[#This Row],[Total]]&lt;&gt; 0, NOT(ISBLANK(SamplingData[[#This Row],[Candidate 7]]))),(SamplingData[[#This Row],[Total]]+SamplingData[[#This Row],[Winning Candidate]]-SamplingData[[#This Row],[Candidate 7]])/(SamplingData[[#Totals],[Winning Candidate]]-SamplingData[[#Totals],[Candidate 7]]), 0)</f>
        <v>0</v>
      </c>
      <c r="W123" s="100">
        <f>IF(AND(SamplingData[[#This Row],[Total]]&lt;&gt; 0, NOT(ISBLANK(SamplingData[[#This Row],[Candidate 8]]))),(SamplingData[[#This Row],[Total]]+SamplingData[[#This Row],[Winning Candidate]]-SamplingData[[#This Row],[Candidate 8]])/(SamplingData[[#Totals],[Winning Candidate]]-SamplingData[[#Totals],[Candidate 8]]), 0)</f>
        <v>0</v>
      </c>
      <c r="X1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3" s="100">
        <f>MAX(SamplingData[[#This Row],[Error Bound (up) - Max. possible relative overstatement - Losing Candidate]:[Error Bound (up) - Max. possible relative overstatement - Candidate 12]])</f>
        <v>5.6446150372544591E-5</v>
      </c>
      <c r="AC123" s="100">
        <f>IF(SamplingData[[#This Row],[Max Error Bound (up)]] = 0,0,SamplingData[[#This Row],[Max Error Bound (up)]]/SamplingData[[#Totals],[Max Error Bound (up)]])</f>
        <v>2.2908983441393738E-5</v>
      </c>
      <c r="AD123" s="104">
        <f>SUM($AC$5:AC123)</f>
        <v>0.12984158327177439</v>
      </c>
      <c r="AE123" s="100" t="str" cm="1">
        <f t="array" ref="AE123">IF(SamplingData[[#This Row],[up/U Selection Probability]] = 0, "Zero", TEXT(SamplingData[[#This Row],[Lower Range]], REPT("0",LEN('General Info'!$B$42))) &amp; " - " &amp; TEXT(SamplingData[[#This Row],[Upper Range]], REPT("0",LEN('General Info'!$B$42))))</f>
        <v>12982 - 12983</v>
      </c>
      <c r="AF123" s="100">
        <f>SamplingData[[#This Row],[Upper Range]]-SamplingData[[#This Row],[Span]]</f>
        <v>12981.8674288333</v>
      </c>
      <c r="AG123" s="100">
        <f>IF(ISNUMBER('General Info'!$B$42), ((SamplingData[[#This Row],[up/U Selection Probability]]) * 'General Info'!$B$44) - 1, 0)</f>
        <v>1.2908983441393738</v>
      </c>
      <c r="AH123" s="100">
        <f>IF(ISNUMBER('General Info'!$B$42), (SamplingData[[#This Row],[Running (cumulative) sum]] * ('General Info'!$B$42 -'General Info'!$B$43 + 1)) + 'General Info'!$B$43 - 1, 0)</f>
        <v>12983.15832717744</v>
      </c>
      <c r="AI123" s="100" t="str">
        <f>IF(ISERROR(MATCH(SamplingData[[#This Row],[Batch by Type (p)]],SelectedPrecincts[Batch Name], 0)), "", INDEX(SelectedPrecincts[Draw], MATCH(SamplingData[[#This Row],[Batch by Type (p)]],SelectedPrecincts[Batch Name], 0)))</f>
        <v/>
      </c>
      <c r="AJ123" s="101">
        <f>IF(COUNTIF(SelectedPrecincts[Batch Name],SamplingData[[#This Row],[Batch by Type (p)]]) &lt;&gt; 0, COUNTIF(SelectedPrecincts[Batch Name],SamplingData[[#This Row],[Batch by Type (p)]]), 0)</f>
        <v>0</v>
      </c>
    </row>
    <row r="124" spans="1:36" ht="15" customHeight="1" x14ac:dyDescent="0.35">
      <c r="A124" s="98" t="s">
        <v>335</v>
      </c>
      <c r="B124" s="98">
        <v>4</v>
      </c>
      <c r="C124" s="98">
        <v>3</v>
      </c>
      <c r="D124" s="93">
        <v>0</v>
      </c>
      <c r="E124" s="93"/>
      <c r="F124" s="93"/>
      <c r="G124" s="97"/>
      <c r="H124" s="97"/>
      <c r="I124" s="93"/>
      <c r="J124" s="93"/>
      <c r="K124" s="93"/>
      <c r="L124" s="93"/>
      <c r="M124" s="93"/>
      <c r="N124" s="98">
        <v>0</v>
      </c>
      <c r="O124" s="98">
        <v>0</v>
      </c>
      <c r="P124" s="99">
        <f>SUM(SamplingData[[#This Row],[Winning Candidate]:[Under Votes]])</f>
        <v>7</v>
      </c>
      <c r="Q124"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5.0565703811389926E-4</v>
      </c>
      <c r="R124" s="100">
        <f>IF(AND(SamplingData[[#This Row],[Total]]&lt;&gt; 0, NOT(ISBLANK(SamplingData[[#This Row],[Candidate 3]]))),(SamplingData[[#This Row],[Total]]+SamplingData[[#This Row],[Winning Candidate]]-SamplingData[[#This Row],[Candidate 3]])/(SamplingData[[#Totals],[Winning Candidate]]-SamplingData[[#Totals],[Candidate 3]]), 0)</f>
        <v>6.2090765409799048E-4</v>
      </c>
      <c r="S124" s="100">
        <f>IF(AND(SamplingData[[#This Row],[Total]]&lt;&gt; 0, NOT(ISBLANK(SamplingData[[#This Row],[Candidate 4]]))),(SamplingData[[#This Row],[Total]]+SamplingData[[#This Row],[Winning Candidate]]-SamplingData[[#This Row],[Candidate 4]])/(SamplingData[[#Totals],[Winning Candidate]]-SamplingData[[#Totals],[Candidate 4]]), 0)</f>
        <v>0</v>
      </c>
      <c r="T124" s="100">
        <f>IF(AND(SamplingData[[#This Row],[Total]]&lt;&gt; 0, NOT(ISBLANK(SamplingData[[#This Row],[Candidate 5]]))),(SamplingData[[#This Row],[Total]]+SamplingData[[#This Row],[Winning Candidate]]-SamplingData[[#This Row],[Candidate 5]])/(SamplingData[[#Totals],[Winning Candidate]]-SamplingData[[#Totals],[Candidate 5]]), 0)</f>
        <v>0</v>
      </c>
      <c r="U124" s="100">
        <f>IF(AND(SamplingData[[#This Row],[Total]]&lt;&gt; 0, NOT(ISBLANK(SamplingData[[#This Row],[Candidate 6]]))),(SamplingData[[#This Row],[Total]]+SamplingData[[#This Row],[Losing Candidate]]-SamplingData[[#This Row],[Candidate 6]])/(SamplingData[[#Totals],[Winning Candidate]]-SamplingData[[#Totals],[Candidate 6]]), 0)</f>
        <v>0</v>
      </c>
      <c r="V124" s="100">
        <f>IF(AND(SamplingData[[#This Row],[Total]]&lt;&gt; 0, NOT(ISBLANK(SamplingData[[#This Row],[Candidate 7]]))),(SamplingData[[#This Row],[Total]]+SamplingData[[#This Row],[Winning Candidate]]-SamplingData[[#This Row],[Candidate 7]])/(SamplingData[[#Totals],[Winning Candidate]]-SamplingData[[#Totals],[Candidate 7]]), 0)</f>
        <v>0</v>
      </c>
      <c r="W124" s="100">
        <f>IF(AND(SamplingData[[#This Row],[Total]]&lt;&gt; 0, NOT(ISBLANK(SamplingData[[#This Row],[Candidate 8]]))),(SamplingData[[#This Row],[Total]]+SamplingData[[#This Row],[Winning Candidate]]-SamplingData[[#This Row],[Candidate 8]])/(SamplingData[[#Totals],[Winning Candidate]]-SamplingData[[#Totals],[Candidate 8]]), 0)</f>
        <v>0</v>
      </c>
      <c r="X1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4" s="100">
        <f>MAX(SamplingData[[#This Row],[Error Bound (up) - Max. possible relative overstatement - Losing Candidate]:[Error Bound (up) - Max. possible relative overstatement - Candidate 12]])</f>
        <v>6.2090765409799048E-4</v>
      </c>
      <c r="AC124" s="100">
        <f>IF(SamplingData[[#This Row],[Max Error Bound (up)]] = 0,0,SamplingData[[#This Row],[Max Error Bound (up)]]/SamplingData[[#Totals],[Max Error Bound (up)]])</f>
        <v>2.5199881785533112E-4</v>
      </c>
      <c r="AD124" s="104">
        <f>SUM($AC$5:AC124)</f>
        <v>0.13009358208962973</v>
      </c>
      <c r="AE124" s="100" t="str" cm="1">
        <f t="array" ref="AE124">IF(SamplingData[[#This Row],[up/U Selection Probability]] = 0, "Zero", TEXT(SamplingData[[#This Row],[Lower Range]], REPT("0",LEN('General Info'!$B$42))) &amp; " - " &amp; TEXT(SamplingData[[#This Row],[Upper Range]], REPT("0",LEN('General Info'!$B$42))))</f>
        <v>12984 - 13008</v>
      </c>
      <c r="AF124" s="100">
        <f>SamplingData[[#This Row],[Upper Range]]-SamplingData[[#This Row],[Span]]</f>
        <v>12984.15832717744</v>
      </c>
      <c r="AG124" s="100">
        <f>IF(ISNUMBER('General Info'!$B$42), ((SamplingData[[#This Row],[up/U Selection Probability]]) * 'General Info'!$B$44) - 1, 0)</f>
        <v>24.199881785533112</v>
      </c>
      <c r="AH124" s="100">
        <f>IF(ISNUMBER('General Info'!$B$42), (SamplingData[[#This Row],[Running (cumulative) sum]] * ('General Info'!$B$42 -'General Info'!$B$43 + 1)) + 'General Info'!$B$43 - 1, 0)</f>
        <v>13008.358208962973</v>
      </c>
      <c r="AI124" s="100" t="str">
        <f>IF(ISERROR(MATCH(SamplingData[[#This Row],[Batch by Type (p)]],SelectedPrecincts[Batch Name], 0)), "", INDEX(SelectedPrecincts[Draw], MATCH(SamplingData[[#This Row],[Batch by Type (p)]],SelectedPrecincts[Batch Name], 0)))</f>
        <v/>
      </c>
      <c r="AJ124" s="101">
        <f>IF(COUNTIF(SelectedPrecincts[Batch Name],SamplingData[[#This Row],[Batch by Type (p)]]) &lt;&gt; 0, COUNTIF(SelectedPrecincts[Batch Name],SamplingData[[#This Row],[Batch by Type (p)]]), 0)</f>
        <v>0</v>
      </c>
    </row>
    <row r="125" spans="1:36" ht="15" customHeight="1" x14ac:dyDescent="0.35">
      <c r="A125" s="98" t="s">
        <v>336</v>
      </c>
      <c r="B125" s="98">
        <v>6</v>
      </c>
      <c r="C125" s="98">
        <v>1</v>
      </c>
      <c r="D125" s="93">
        <v>1</v>
      </c>
      <c r="E125" s="93"/>
      <c r="F125" s="93"/>
      <c r="G125" s="97"/>
      <c r="H125" s="97"/>
      <c r="I125" s="93"/>
      <c r="J125" s="93"/>
      <c r="K125" s="93"/>
      <c r="L125" s="93"/>
      <c r="M125" s="93"/>
      <c r="N125" s="98">
        <v>0</v>
      </c>
      <c r="O125" s="98">
        <v>0</v>
      </c>
      <c r="P125" s="99">
        <f>SUM(SamplingData[[#This Row],[Winning Candidate]:[Under Votes]])</f>
        <v>8</v>
      </c>
      <c r="Q125" s="100">
        <f>IF(AND(SamplingData[[#This Row],[Total]]&lt;&gt; 0, NOT(ISBLANK(SamplingData[[#This Row],[Losing Candidate]]))),(SamplingData[[#This Row],[Total]]+SamplingData[[#This Row],[Winning Candidate]]-SamplingData[[#This Row],[Losing Candidate]])/(SamplingData[[#Totals],[Winning Candidate]]-SamplingData[[#Totals],[Losing Candidate]]), 0)</f>
        <v>8.2169268693508624E-4</v>
      </c>
      <c r="R125" s="100">
        <f>IF(AND(SamplingData[[#This Row],[Total]]&lt;&gt; 0, NOT(ISBLANK(SamplingData[[#This Row],[Candidate 3]]))),(SamplingData[[#This Row],[Total]]+SamplingData[[#This Row],[Winning Candidate]]-SamplingData[[#This Row],[Candidate 3]])/(SamplingData[[#Totals],[Winning Candidate]]-SamplingData[[#Totals],[Candidate 3]]), 0)</f>
        <v>7.3379995484307975E-4</v>
      </c>
      <c r="S125" s="100">
        <f>IF(AND(SamplingData[[#This Row],[Total]]&lt;&gt; 0, NOT(ISBLANK(SamplingData[[#This Row],[Candidate 4]]))),(SamplingData[[#This Row],[Total]]+SamplingData[[#This Row],[Winning Candidate]]-SamplingData[[#This Row],[Candidate 4]])/(SamplingData[[#Totals],[Winning Candidate]]-SamplingData[[#Totals],[Candidate 4]]), 0)</f>
        <v>0</v>
      </c>
      <c r="T125" s="100">
        <f>IF(AND(SamplingData[[#This Row],[Total]]&lt;&gt; 0, NOT(ISBLANK(SamplingData[[#This Row],[Candidate 5]]))),(SamplingData[[#This Row],[Total]]+SamplingData[[#This Row],[Winning Candidate]]-SamplingData[[#This Row],[Candidate 5]])/(SamplingData[[#Totals],[Winning Candidate]]-SamplingData[[#Totals],[Candidate 5]]), 0)</f>
        <v>0</v>
      </c>
      <c r="U125" s="100">
        <f>IF(AND(SamplingData[[#This Row],[Total]]&lt;&gt; 0, NOT(ISBLANK(SamplingData[[#This Row],[Candidate 6]]))),(SamplingData[[#This Row],[Total]]+SamplingData[[#This Row],[Losing Candidate]]-SamplingData[[#This Row],[Candidate 6]])/(SamplingData[[#Totals],[Winning Candidate]]-SamplingData[[#Totals],[Candidate 6]]), 0)</f>
        <v>0</v>
      </c>
      <c r="V125" s="100">
        <f>IF(AND(SamplingData[[#This Row],[Total]]&lt;&gt; 0, NOT(ISBLANK(SamplingData[[#This Row],[Candidate 7]]))),(SamplingData[[#This Row],[Total]]+SamplingData[[#This Row],[Winning Candidate]]-SamplingData[[#This Row],[Candidate 7]])/(SamplingData[[#Totals],[Winning Candidate]]-SamplingData[[#Totals],[Candidate 7]]), 0)</f>
        <v>0</v>
      </c>
      <c r="W125" s="100">
        <f>IF(AND(SamplingData[[#This Row],[Total]]&lt;&gt; 0, NOT(ISBLANK(SamplingData[[#This Row],[Candidate 8]]))),(SamplingData[[#This Row],[Total]]+SamplingData[[#This Row],[Winning Candidate]]-SamplingData[[#This Row],[Candidate 8]])/(SamplingData[[#Totals],[Winning Candidate]]-SamplingData[[#Totals],[Candidate 8]]), 0)</f>
        <v>0</v>
      </c>
      <c r="X1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5" s="100">
        <f>MAX(SamplingData[[#This Row],[Error Bound (up) - Max. possible relative overstatement - Losing Candidate]:[Error Bound (up) - Max. possible relative overstatement - Candidate 12]])</f>
        <v>8.2169268693508624E-4</v>
      </c>
      <c r="AC125" s="100">
        <f>IF(SamplingData[[#This Row],[Max Error Bound (up)]] = 0,0,SamplingData[[#This Row],[Max Error Bound (up)]]/SamplingData[[#Totals],[Max Error Bound (up)]])</f>
        <v>3.3348853791925341E-4</v>
      </c>
      <c r="AD125" s="104">
        <f>SUM($AC$5:AC125)</f>
        <v>0.13042707062754899</v>
      </c>
      <c r="AE125" s="100" t="str" cm="1">
        <f t="array" ref="AE125">IF(SamplingData[[#This Row],[up/U Selection Probability]] = 0, "Zero", TEXT(SamplingData[[#This Row],[Lower Range]], REPT("0",LEN('General Info'!$B$42))) &amp; " - " &amp; TEXT(SamplingData[[#This Row],[Upper Range]], REPT("0",LEN('General Info'!$B$42))))</f>
        <v>13009 - 13042</v>
      </c>
      <c r="AF125" s="100">
        <f>SamplingData[[#This Row],[Upper Range]]-SamplingData[[#This Row],[Span]]</f>
        <v>13009.358208962973</v>
      </c>
      <c r="AG125" s="100">
        <f>IF(ISNUMBER('General Info'!$B$42), ((SamplingData[[#This Row],[up/U Selection Probability]]) * 'General Info'!$B$44) - 1, 0)</f>
        <v>32.348853791925343</v>
      </c>
      <c r="AH125" s="100">
        <f>IF(ISNUMBER('General Info'!$B$42), (SamplingData[[#This Row],[Running (cumulative) sum]] * ('General Info'!$B$42 -'General Info'!$B$43 + 1)) + 'General Info'!$B$43 - 1, 0)</f>
        <v>13041.707062754898</v>
      </c>
      <c r="AI125" s="100" t="str">
        <f>IF(ISERROR(MATCH(SamplingData[[#This Row],[Batch by Type (p)]],SelectedPrecincts[Batch Name], 0)), "", INDEX(SelectedPrecincts[Draw], MATCH(SamplingData[[#This Row],[Batch by Type (p)]],SelectedPrecincts[Batch Name], 0)))</f>
        <v/>
      </c>
      <c r="AJ125" s="101">
        <f>IF(COUNTIF(SelectedPrecincts[Batch Name],SamplingData[[#This Row],[Batch by Type (p)]]) &lt;&gt; 0, COUNTIF(SelectedPrecincts[Batch Name],SamplingData[[#This Row],[Batch by Type (p)]]), 0)</f>
        <v>0</v>
      </c>
    </row>
    <row r="126" spans="1:36" ht="15" customHeight="1" x14ac:dyDescent="0.35">
      <c r="A126" s="98" t="s">
        <v>337</v>
      </c>
      <c r="B126" s="98">
        <v>14</v>
      </c>
      <c r="C126" s="98">
        <v>0</v>
      </c>
      <c r="D126" s="93">
        <v>1</v>
      </c>
      <c r="E126" s="93"/>
      <c r="F126" s="93"/>
      <c r="G126" s="97"/>
      <c r="H126" s="97"/>
      <c r="I126" s="93"/>
      <c r="J126" s="93"/>
      <c r="K126" s="93"/>
      <c r="L126" s="93"/>
      <c r="M126" s="93"/>
      <c r="N126" s="98">
        <v>0</v>
      </c>
      <c r="O126" s="98">
        <v>0</v>
      </c>
      <c r="P126" s="99">
        <f>SUM(SamplingData[[#This Row],[Winning Candidate]:[Under Votes]])</f>
        <v>15</v>
      </c>
      <c r="Q126"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126" s="100">
        <f>IF(AND(SamplingData[[#This Row],[Total]]&lt;&gt; 0, NOT(ISBLANK(SamplingData[[#This Row],[Candidate 3]]))),(SamplingData[[#This Row],[Total]]+SamplingData[[#This Row],[Winning Candidate]]-SamplingData[[#This Row],[Candidate 3]])/(SamplingData[[#Totals],[Winning Candidate]]-SamplingData[[#Totals],[Candidate 3]]), 0)</f>
        <v>1.5804922104312486E-3</v>
      </c>
      <c r="S126" s="100">
        <f>IF(AND(SamplingData[[#This Row],[Total]]&lt;&gt; 0, NOT(ISBLANK(SamplingData[[#This Row],[Candidate 4]]))),(SamplingData[[#This Row],[Total]]+SamplingData[[#This Row],[Winning Candidate]]-SamplingData[[#This Row],[Candidate 4]])/(SamplingData[[#Totals],[Winning Candidate]]-SamplingData[[#Totals],[Candidate 4]]), 0)</f>
        <v>0</v>
      </c>
      <c r="T126" s="100">
        <f>IF(AND(SamplingData[[#This Row],[Total]]&lt;&gt; 0, NOT(ISBLANK(SamplingData[[#This Row],[Candidate 5]]))),(SamplingData[[#This Row],[Total]]+SamplingData[[#This Row],[Winning Candidate]]-SamplingData[[#This Row],[Candidate 5]])/(SamplingData[[#Totals],[Winning Candidate]]-SamplingData[[#Totals],[Candidate 5]]), 0)</f>
        <v>0</v>
      </c>
      <c r="U126" s="100">
        <f>IF(AND(SamplingData[[#This Row],[Total]]&lt;&gt; 0, NOT(ISBLANK(SamplingData[[#This Row],[Candidate 6]]))),(SamplingData[[#This Row],[Total]]+SamplingData[[#This Row],[Losing Candidate]]-SamplingData[[#This Row],[Candidate 6]])/(SamplingData[[#Totals],[Winning Candidate]]-SamplingData[[#Totals],[Candidate 6]]), 0)</f>
        <v>0</v>
      </c>
      <c r="V126" s="100">
        <f>IF(AND(SamplingData[[#This Row],[Total]]&lt;&gt; 0, NOT(ISBLANK(SamplingData[[#This Row],[Candidate 7]]))),(SamplingData[[#This Row],[Total]]+SamplingData[[#This Row],[Winning Candidate]]-SamplingData[[#This Row],[Candidate 7]])/(SamplingData[[#Totals],[Winning Candidate]]-SamplingData[[#Totals],[Candidate 7]]), 0)</f>
        <v>0</v>
      </c>
      <c r="W126" s="100">
        <f>IF(AND(SamplingData[[#This Row],[Total]]&lt;&gt; 0, NOT(ISBLANK(SamplingData[[#This Row],[Candidate 8]]))),(SamplingData[[#This Row],[Total]]+SamplingData[[#This Row],[Winning Candidate]]-SamplingData[[#This Row],[Candidate 8]])/(SamplingData[[#Totals],[Winning Candidate]]-SamplingData[[#Totals],[Candidate 8]]), 0)</f>
        <v>0</v>
      </c>
      <c r="X1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6" s="100">
        <f>MAX(SamplingData[[#This Row],[Error Bound (up) - Max. possible relative overstatement - Losing Candidate]:[Error Bound (up) - Max. possible relative overstatement - Candidate 12]])</f>
        <v>1.8330067631628848E-3</v>
      </c>
      <c r="AC126" s="100">
        <f>IF(SamplingData[[#This Row],[Max Error Bound (up)]] = 0,0,SamplingData[[#This Row],[Max Error Bound (up)]]/SamplingData[[#Totals],[Max Error Bound (up)]])</f>
        <v>7.4393596920448851E-4</v>
      </c>
      <c r="AD126" s="104">
        <f>SUM($AC$5:AC126)</f>
        <v>0.13117100659675349</v>
      </c>
      <c r="AE126" s="100" t="str" cm="1">
        <f t="array" ref="AE126">IF(SamplingData[[#This Row],[up/U Selection Probability]] = 0, "Zero", TEXT(SamplingData[[#This Row],[Lower Range]], REPT("0",LEN('General Info'!$B$42))) &amp; " - " &amp; TEXT(SamplingData[[#This Row],[Upper Range]], REPT("0",LEN('General Info'!$B$42))))</f>
        <v>13043 - 13116</v>
      </c>
      <c r="AF126" s="100">
        <f>SamplingData[[#This Row],[Upper Range]]-SamplingData[[#This Row],[Span]]</f>
        <v>13042.7070627549</v>
      </c>
      <c r="AG126" s="100">
        <f>IF(ISNUMBER('General Info'!$B$42), ((SamplingData[[#This Row],[up/U Selection Probability]]) * 'General Info'!$B$44) - 1, 0)</f>
        <v>73.393596920448857</v>
      </c>
      <c r="AH126" s="100">
        <f>IF(ISNUMBER('General Info'!$B$42), (SamplingData[[#This Row],[Running (cumulative) sum]] * ('General Info'!$B$42 -'General Info'!$B$43 + 1)) + 'General Info'!$B$43 - 1, 0)</f>
        <v>13116.100659675349</v>
      </c>
      <c r="AI126" s="100" t="str">
        <f>IF(ISERROR(MATCH(SamplingData[[#This Row],[Batch by Type (p)]],SelectedPrecincts[Batch Name], 0)), "", INDEX(SelectedPrecincts[Draw], MATCH(SamplingData[[#This Row],[Batch by Type (p)]],SelectedPrecincts[Batch Name], 0)))</f>
        <v/>
      </c>
      <c r="AJ126" s="101">
        <f>IF(COUNTIF(SelectedPrecincts[Batch Name],SamplingData[[#This Row],[Batch by Type (p)]]) &lt;&gt; 0, COUNTIF(SelectedPrecincts[Batch Name],SamplingData[[#This Row],[Batch by Type (p)]]), 0)</f>
        <v>0</v>
      </c>
    </row>
    <row r="127" spans="1:36" ht="15" customHeight="1" x14ac:dyDescent="0.35">
      <c r="A127" s="98" t="s">
        <v>338</v>
      </c>
      <c r="B127" s="98">
        <v>13</v>
      </c>
      <c r="C127" s="98">
        <v>2</v>
      </c>
      <c r="D127" s="93">
        <v>0</v>
      </c>
      <c r="E127" s="93"/>
      <c r="F127" s="93"/>
      <c r="G127" s="97"/>
      <c r="H127" s="97"/>
      <c r="I127" s="93"/>
      <c r="J127" s="93"/>
      <c r="K127" s="93"/>
      <c r="L127" s="93"/>
      <c r="M127" s="93"/>
      <c r="N127" s="98">
        <v>0</v>
      </c>
      <c r="O127" s="98">
        <v>0</v>
      </c>
      <c r="P127" s="99">
        <f>SUM(SamplingData[[#This Row],[Winning Candidate]:[Under Votes]])</f>
        <v>15</v>
      </c>
      <c r="Q127" s="100">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127" s="100">
        <f>IF(AND(SamplingData[[#This Row],[Total]]&lt;&gt; 0, NOT(ISBLANK(SamplingData[[#This Row],[Candidate 3]]))),(SamplingData[[#This Row],[Total]]+SamplingData[[#This Row],[Winning Candidate]]-SamplingData[[#This Row],[Candidate 3]])/(SamplingData[[#Totals],[Winning Candidate]]-SamplingData[[#Totals],[Candidate 3]]), 0)</f>
        <v>1.5804922104312486E-3</v>
      </c>
      <c r="S127" s="100">
        <f>IF(AND(SamplingData[[#This Row],[Total]]&lt;&gt; 0, NOT(ISBLANK(SamplingData[[#This Row],[Candidate 4]]))),(SamplingData[[#This Row],[Total]]+SamplingData[[#This Row],[Winning Candidate]]-SamplingData[[#This Row],[Candidate 4]])/(SamplingData[[#Totals],[Winning Candidate]]-SamplingData[[#Totals],[Candidate 4]]), 0)</f>
        <v>0</v>
      </c>
      <c r="T127" s="100">
        <f>IF(AND(SamplingData[[#This Row],[Total]]&lt;&gt; 0, NOT(ISBLANK(SamplingData[[#This Row],[Candidate 5]]))),(SamplingData[[#This Row],[Total]]+SamplingData[[#This Row],[Winning Candidate]]-SamplingData[[#This Row],[Candidate 5]])/(SamplingData[[#Totals],[Winning Candidate]]-SamplingData[[#Totals],[Candidate 5]]), 0)</f>
        <v>0</v>
      </c>
      <c r="U127" s="100">
        <f>IF(AND(SamplingData[[#This Row],[Total]]&lt;&gt; 0, NOT(ISBLANK(SamplingData[[#This Row],[Candidate 6]]))),(SamplingData[[#This Row],[Total]]+SamplingData[[#This Row],[Losing Candidate]]-SamplingData[[#This Row],[Candidate 6]])/(SamplingData[[#Totals],[Winning Candidate]]-SamplingData[[#Totals],[Candidate 6]]), 0)</f>
        <v>0</v>
      </c>
      <c r="V127" s="100">
        <f>IF(AND(SamplingData[[#This Row],[Total]]&lt;&gt; 0, NOT(ISBLANK(SamplingData[[#This Row],[Candidate 7]]))),(SamplingData[[#This Row],[Total]]+SamplingData[[#This Row],[Winning Candidate]]-SamplingData[[#This Row],[Candidate 7]])/(SamplingData[[#Totals],[Winning Candidate]]-SamplingData[[#Totals],[Candidate 7]]), 0)</f>
        <v>0</v>
      </c>
      <c r="W127" s="100">
        <f>IF(AND(SamplingData[[#This Row],[Total]]&lt;&gt; 0, NOT(ISBLANK(SamplingData[[#This Row],[Candidate 8]]))),(SamplingData[[#This Row],[Total]]+SamplingData[[#This Row],[Winning Candidate]]-SamplingData[[#This Row],[Candidate 8]])/(SamplingData[[#Totals],[Winning Candidate]]-SamplingData[[#Totals],[Candidate 8]]), 0)</f>
        <v>0</v>
      </c>
      <c r="X1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7" s="100">
        <f>MAX(SamplingData[[#This Row],[Error Bound (up) - Max. possible relative overstatement - Losing Candidate]:[Error Bound (up) - Max. possible relative overstatement - Candidate 12]])</f>
        <v>1.6433853738701725E-3</v>
      </c>
      <c r="AC127" s="100">
        <f>IF(SamplingData[[#This Row],[Max Error Bound (up)]] = 0,0,SamplingData[[#This Row],[Max Error Bound (up)]]/SamplingData[[#Totals],[Max Error Bound (up)]])</f>
        <v>6.6697707583850683E-4</v>
      </c>
      <c r="AD127" s="104">
        <f>SUM($AC$5:AC127)</f>
        <v>0.131837983672592</v>
      </c>
      <c r="AE127" s="100" t="str" cm="1">
        <f t="array" ref="AE127">IF(SamplingData[[#This Row],[up/U Selection Probability]] = 0, "Zero", TEXT(SamplingData[[#This Row],[Lower Range]], REPT("0",LEN('General Info'!$B$42))) &amp; " - " &amp; TEXT(SamplingData[[#This Row],[Upper Range]], REPT("0",LEN('General Info'!$B$42))))</f>
        <v>13117 - 13183</v>
      </c>
      <c r="AF127" s="100">
        <f>SamplingData[[#This Row],[Upper Range]]-SamplingData[[#This Row],[Span]]</f>
        <v>13117.100659675349</v>
      </c>
      <c r="AG127" s="100">
        <f>IF(ISNUMBER('General Info'!$B$42), ((SamplingData[[#This Row],[up/U Selection Probability]]) * 'General Info'!$B$44) - 1, 0)</f>
        <v>65.697707583850686</v>
      </c>
      <c r="AH127" s="100">
        <f>IF(ISNUMBER('General Info'!$B$42), (SamplingData[[#This Row],[Running (cumulative) sum]] * ('General Info'!$B$42 -'General Info'!$B$43 + 1)) + 'General Info'!$B$43 - 1, 0)</f>
        <v>13182.7983672592</v>
      </c>
      <c r="AI127" s="100" t="str">
        <f>IF(ISERROR(MATCH(SamplingData[[#This Row],[Batch by Type (p)]],SelectedPrecincts[Batch Name], 0)), "", INDEX(SelectedPrecincts[Draw], MATCH(SamplingData[[#This Row],[Batch by Type (p)]],SelectedPrecincts[Batch Name], 0)))</f>
        <v/>
      </c>
      <c r="AJ127" s="101">
        <f>IF(COUNTIF(SelectedPrecincts[Batch Name],SamplingData[[#This Row],[Batch by Type (p)]]) &lt;&gt; 0, COUNTIF(SelectedPrecincts[Batch Name],SamplingData[[#This Row],[Batch by Type (p)]]), 0)</f>
        <v>0</v>
      </c>
    </row>
    <row r="128" spans="1:36" ht="15" customHeight="1" x14ac:dyDescent="0.35">
      <c r="A128" s="98" t="s">
        <v>339</v>
      </c>
      <c r="B128" s="98">
        <v>3</v>
      </c>
      <c r="C128" s="98">
        <v>0</v>
      </c>
      <c r="D128" s="93">
        <v>0</v>
      </c>
      <c r="E128" s="93"/>
      <c r="F128" s="93"/>
      <c r="G128" s="97"/>
      <c r="H128" s="97"/>
      <c r="I128" s="93"/>
      <c r="J128" s="93"/>
      <c r="K128" s="93"/>
      <c r="L128" s="93"/>
      <c r="M128" s="93"/>
      <c r="N128" s="98">
        <v>0</v>
      </c>
      <c r="O128" s="98">
        <v>0</v>
      </c>
      <c r="P128" s="99">
        <f>SUM(SamplingData[[#This Row],[Winning Candidate]:[Under Votes]])</f>
        <v>3</v>
      </c>
      <c r="Q128" s="100">
        <f>IF(AND(SamplingData[[#This Row],[Total]]&lt;&gt; 0, NOT(ISBLANK(SamplingData[[#This Row],[Losing Candidate]]))),(SamplingData[[#This Row],[Total]]+SamplingData[[#This Row],[Winning Candidate]]-SamplingData[[#This Row],[Losing Candidate]])/(SamplingData[[#Totals],[Winning Candidate]]-SamplingData[[#Totals],[Losing Candidate]]), 0)</f>
        <v>3.7924277858542444E-4</v>
      </c>
      <c r="R128" s="100">
        <f>IF(AND(SamplingData[[#This Row],[Total]]&lt;&gt; 0, NOT(ISBLANK(SamplingData[[#This Row],[Candidate 3]]))),(SamplingData[[#This Row],[Total]]+SamplingData[[#This Row],[Winning Candidate]]-SamplingData[[#This Row],[Candidate 3]])/(SamplingData[[#Totals],[Winning Candidate]]-SamplingData[[#Totals],[Candidate 3]]), 0)</f>
        <v>3.3867690223526756E-4</v>
      </c>
      <c r="S128" s="100">
        <f>IF(AND(SamplingData[[#This Row],[Total]]&lt;&gt; 0, NOT(ISBLANK(SamplingData[[#This Row],[Candidate 4]]))),(SamplingData[[#This Row],[Total]]+SamplingData[[#This Row],[Winning Candidate]]-SamplingData[[#This Row],[Candidate 4]])/(SamplingData[[#Totals],[Winning Candidate]]-SamplingData[[#Totals],[Candidate 4]]), 0)</f>
        <v>0</v>
      </c>
      <c r="T128" s="100">
        <f>IF(AND(SamplingData[[#This Row],[Total]]&lt;&gt; 0, NOT(ISBLANK(SamplingData[[#This Row],[Candidate 5]]))),(SamplingData[[#This Row],[Total]]+SamplingData[[#This Row],[Winning Candidate]]-SamplingData[[#This Row],[Candidate 5]])/(SamplingData[[#Totals],[Winning Candidate]]-SamplingData[[#Totals],[Candidate 5]]), 0)</f>
        <v>0</v>
      </c>
      <c r="U128" s="100">
        <f>IF(AND(SamplingData[[#This Row],[Total]]&lt;&gt; 0, NOT(ISBLANK(SamplingData[[#This Row],[Candidate 6]]))),(SamplingData[[#This Row],[Total]]+SamplingData[[#This Row],[Losing Candidate]]-SamplingData[[#This Row],[Candidate 6]])/(SamplingData[[#Totals],[Winning Candidate]]-SamplingData[[#Totals],[Candidate 6]]), 0)</f>
        <v>0</v>
      </c>
      <c r="V128" s="100">
        <f>IF(AND(SamplingData[[#This Row],[Total]]&lt;&gt; 0, NOT(ISBLANK(SamplingData[[#This Row],[Candidate 7]]))),(SamplingData[[#This Row],[Total]]+SamplingData[[#This Row],[Winning Candidate]]-SamplingData[[#This Row],[Candidate 7]])/(SamplingData[[#Totals],[Winning Candidate]]-SamplingData[[#Totals],[Candidate 7]]), 0)</f>
        <v>0</v>
      </c>
      <c r="W128" s="100">
        <f>IF(AND(SamplingData[[#This Row],[Total]]&lt;&gt; 0, NOT(ISBLANK(SamplingData[[#This Row],[Candidate 8]]))),(SamplingData[[#This Row],[Total]]+SamplingData[[#This Row],[Winning Candidate]]-SamplingData[[#This Row],[Candidate 8]])/(SamplingData[[#Totals],[Winning Candidate]]-SamplingData[[#Totals],[Candidate 8]]), 0)</f>
        <v>0</v>
      </c>
      <c r="X1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8" s="100">
        <f>MAX(SamplingData[[#This Row],[Error Bound (up) - Max. possible relative overstatement - Losing Candidate]:[Error Bound (up) - Max. possible relative overstatement - Candidate 12]])</f>
        <v>3.7924277858542444E-4</v>
      </c>
      <c r="AC128" s="100">
        <f>IF(SamplingData[[#This Row],[Max Error Bound (up)]] = 0,0,SamplingData[[#This Row],[Max Error Bound (up)]]/SamplingData[[#Totals],[Max Error Bound (up)]])</f>
        <v>1.5391778673196313E-4</v>
      </c>
      <c r="AD128" s="104">
        <f>SUM($AC$5:AC128)</f>
        <v>0.13199190145932396</v>
      </c>
      <c r="AE128" s="100" t="str" cm="1">
        <f t="array" ref="AE128">IF(SamplingData[[#This Row],[up/U Selection Probability]] = 0, "Zero", TEXT(SamplingData[[#This Row],[Lower Range]], REPT("0",LEN('General Info'!$B$42))) &amp; " - " &amp; TEXT(SamplingData[[#This Row],[Upper Range]], REPT("0",LEN('General Info'!$B$42))))</f>
        <v>13184 - 13198</v>
      </c>
      <c r="AF128" s="100">
        <f>SamplingData[[#This Row],[Upper Range]]-SamplingData[[#This Row],[Span]]</f>
        <v>13183.7983672592</v>
      </c>
      <c r="AG128" s="100">
        <f>IF(ISNUMBER('General Info'!$B$42), ((SamplingData[[#This Row],[up/U Selection Probability]]) * 'General Info'!$B$44) - 1, 0)</f>
        <v>14.391778673196313</v>
      </c>
      <c r="AH128" s="100">
        <f>IF(ISNUMBER('General Info'!$B$42), (SamplingData[[#This Row],[Running (cumulative) sum]] * ('General Info'!$B$42 -'General Info'!$B$43 + 1)) + 'General Info'!$B$43 - 1, 0)</f>
        <v>13198.190145932396</v>
      </c>
      <c r="AI128" s="100" t="str">
        <f>IF(ISERROR(MATCH(SamplingData[[#This Row],[Batch by Type (p)]],SelectedPrecincts[Batch Name], 0)), "", INDEX(SelectedPrecincts[Draw], MATCH(SamplingData[[#This Row],[Batch by Type (p)]],SelectedPrecincts[Batch Name], 0)))</f>
        <v/>
      </c>
      <c r="AJ128" s="101">
        <f>IF(COUNTIF(SelectedPrecincts[Batch Name],SamplingData[[#This Row],[Batch by Type (p)]]) &lt;&gt; 0, COUNTIF(SelectedPrecincts[Batch Name],SamplingData[[#This Row],[Batch by Type (p)]]), 0)</f>
        <v>0</v>
      </c>
    </row>
    <row r="129" spans="1:36" ht="15" customHeight="1" x14ac:dyDescent="0.35">
      <c r="A129" s="98" t="s">
        <v>340</v>
      </c>
      <c r="B129" s="98">
        <v>7</v>
      </c>
      <c r="C129" s="98">
        <v>3</v>
      </c>
      <c r="D129" s="93">
        <v>3</v>
      </c>
      <c r="E129" s="93"/>
      <c r="F129" s="93"/>
      <c r="G129" s="97"/>
      <c r="H129" s="97"/>
      <c r="I129" s="93"/>
      <c r="J129" s="93"/>
      <c r="K129" s="93"/>
      <c r="L129" s="93"/>
      <c r="M129" s="93"/>
      <c r="N129" s="98">
        <v>0</v>
      </c>
      <c r="O129" s="98">
        <v>0</v>
      </c>
      <c r="P129" s="99">
        <f>SUM(SamplingData[[#This Row],[Winning Candidate]:[Under Votes]])</f>
        <v>13</v>
      </c>
      <c r="Q129" s="100">
        <f>IF(AND(SamplingData[[#This Row],[Total]]&lt;&gt; 0, NOT(ISBLANK(SamplingData[[#This Row],[Losing Candidate]]))),(SamplingData[[#This Row],[Total]]+SamplingData[[#This Row],[Winning Candidate]]-SamplingData[[#This Row],[Losing Candidate]])/(SamplingData[[#Totals],[Winning Candidate]]-SamplingData[[#Totals],[Losing Candidate]]), 0)</f>
        <v>1.0745212059920359E-3</v>
      </c>
      <c r="R129" s="100">
        <f>IF(AND(SamplingData[[#This Row],[Total]]&lt;&gt; 0, NOT(ISBLANK(SamplingData[[#This Row],[Candidate 3]]))),(SamplingData[[#This Row],[Total]]+SamplingData[[#This Row],[Winning Candidate]]-SamplingData[[#This Row],[Candidate 3]])/(SamplingData[[#Totals],[Winning Candidate]]-SamplingData[[#Totals],[Candidate 3]]), 0)</f>
        <v>9.5958455633325809E-4</v>
      </c>
      <c r="S129" s="100">
        <f>IF(AND(SamplingData[[#This Row],[Total]]&lt;&gt; 0, NOT(ISBLANK(SamplingData[[#This Row],[Candidate 4]]))),(SamplingData[[#This Row],[Total]]+SamplingData[[#This Row],[Winning Candidate]]-SamplingData[[#This Row],[Candidate 4]])/(SamplingData[[#Totals],[Winning Candidate]]-SamplingData[[#Totals],[Candidate 4]]), 0)</f>
        <v>0</v>
      </c>
      <c r="T129" s="100">
        <f>IF(AND(SamplingData[[#This Row],[Total]]&lt;&gt; 0, NOT(ISBLANK(SamplingData[[#This Row],[Candidate 5]]))),(SamplingData[[#This Row],[Total]]+SamplingData[[#This Row],[Winning Candidate]]-SamplingData[[#This Row],[Candidate 5]])/(SamplingData[[#Totals],[Winning Candidate]]-SamplingData[[#Totals],[Candidate 5]]), 0)</f>
        <v>0</v>
      </c>
      <c r="U129" s="100">
        <f>IF(AND(SamplingData[[#This Row],[Total]]&lt;&gt; 0, NOT(ISBLANK(SamplingData[[#This Row],[Candidate 6]]))),(SamplingData[[#This Row],[Total]]+SamplingData[[#This Row],[Losing Candidate]]-SamplingData[[#This Row],[Candidate 6]])/(SamplingData[[#Totals],[Winning Candidate]]-SamplingData[[#Totals],[Candidate 6]]), 0)</f>
        <v>0</v>
      </c>
      <c r="V129" s="100">
        <f>IF(AND(SamplingData[[#This Row],[Total]]&lt;&gt; 0, NOT(ISBLANK(SamplingData[[#This Row],[Candidate 7]]))),(SamplingData[[#This Row],[Total]]+SamplingData[[#This Row],[Winning Candidate]]-SamplingData[[#This Row],[Candidate 7]])/(SamplingData[[#Totals],[Winning Candidate]]-SamplingData[[#Totals],[Candidate 7]]), 0)</f>
        <v>0</v>
      </c>
      <c r="W129" s="100">
        <f>IF(AND(SamplingData[[#This Row],[Total]]&lt;&gt; 0, NOT(ISBLANK(SamplingData[[#This Row],[Candidate 8]]))),(SamplingData[[#This Row],[Total]]+SamplingData[[#This Row],[Winning Candidate]]-SamplingData[[#This Row],[Candidate 8]])/(SamplingData[[#Totals],[Winning Candidate]]-SamplingData[[#Totals],[Candidate 8]]), 0)</f>
        <v>0</v>
      </c>
      <c r="X1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9" s="100">
        <f>MAX(SamplingData[[#This Row],[Error Bound (up) - Max. possible relative overstatement - Losing Candidate]:[Error Bound (up) - Max. possible relative overstatement - Candidate 12]])</f>
        <v>1.0745212059920359E-3</v>
      </c>
      <c r="AC129" s="100">
        <f>IF(SamplingData[[#This Row],[Max Error Bound (up)]] = 0,0,SamplingData[[#This Row],[Max Error Bound (up)]]/SamplingData[[#Totals],[Max Error Bound (up)]])</f>
        <v>4.361003957405622E-4</v>
      </c>
      <c r="AD129" s="104">
        <f>SUM($AC$5:AC129)</f>
        <v>0.13242800185506454</v>
      </c>
      <c r="AE129" s="100" t="str" cm="1">
        <f t="array" ref="AE129">IF(SamplingData[[#This Row],[up/U Selection Probability]] = 0, "Zero", TEXT(SamplingData[[#This Row],[Lower Range]], REPT("0",LEN('General Info'!$B$42))) &amp; " - " &amp; TEXT(SamplingData[[#This Row],[Upper Range]], REPT("0",LEN('General Info'!$B$42))))</f>
        <v>13199 - 13242</v>
      </c>
      <c r="AF129" s="100">
        <f>SamplingData[[#This Row],[Upper Range]]-SamplingData[[#This Row],[Span]]</f>
        <v>13199.190145932398</v>
      </c>
      <c r="AG129" s="100">
        <f>IF(ISNUMBER('General Info'!$B$42), ((SamplingData[[#This Row],[up/U Selection Probability]]) * 'General Info'!$B$44) - 1, 0)</f>
        <v>42.610039574056223</v>
      </c>
      <c r="AH129" s="100">
        <f>IF(ISNUMBER('General Info'!$B$42), (SamplingData[[#This Row],[Running (cumulative) sum]] * ('General Info'!$B$42 -'General Info'!$B$43 + 1)) + 'General Info'!$B$43 - 1, 0)</f>
        <v>13241.800185506454</v>
      </c>
      <c r="AI129" s="100" t="str">
        <f>IF(ISERROR(MATCH(SamplingData[[#This Row],[Batch by Type (p)]],SelectedPrecincts[Batch Name], 0)), "", INDEX(SelectedPrecincts[Draw], MATCH(SamplingData[[#This Row],[Batch by Type (p)]],SelectedPrecincts[Batch Name], 0)))</f>
        <v/>
      </c>
      <c r="AJ129" s="101">
        <f>IF(COUNTIF(SelectedPrecincts[Batch Name],SamplingData[[#This Row],[Batch by Type (p)]]) &lt;&gt; 0, COUNTIF(SelectedPrecincts[Batch Name],SamplingData[[#This Row],[Batch by Type (p)]]), 0)</f>
        <v>0</v>
      </c>
    </row>
    <row r="130" spans="1:36" ht="15" customHeight="1" x14ac:dyDescent="0.35">
      <c r="A130" s="98" t="s">
        <v>341</v>
      </c>
      <c r="B130" s="98">
        <v>3</v>
      </c>
      <c r="C130" s="98">
        <v>0</v>
      </c>
      <c r="D130" s="93">
        <v>0</v>
      </c>
      <c r="E130" s="93"/>
      <c r="F130" s="93"/>
      <c r="G130" s="97"/>
      <c r="H130" s="97"/>
      <c r="I130" s="93"/>
      <c r="J130" s="93"/>
      <c r="K130" s="93"/>
      <c r="L130" s="93"/>
      <c r="M130" s="93"/>
      <c r="N130" s="98">
        <v>0</v>
      </c>
      <c r="O130" s="98">
        <v>0</v>
      </c>
      <c r="P130" s="99">
        <f>SUM(SamplingData[[#This Row],[Winning Candidate]:[Under Votes]])</f>
        <v>3</v>
      </c>
      <c r="Q130" s="100">
        <f>IF(AND(SamplingData[[#This Row],[Total]]&lt;&gt; 0, NOT(ISBLANK(SamplingData[[#This Row],[Losing Candidate]]))),(SamplingData[[#This Row],[Total]]+SamplingData[[#This Row],[Winning Candidate]]-SamplingData[[#This Row],[Losing Candidate]])/(SamplingData[[#Totals],[Winning Candidate]]-SamplingData[[#Totals],[Losing Candidate]]), 0)</f>
        <v>3.7924277858542444E-4</v>
      </c>
      <c r="R130" s="100">
        <f>IF(AND(SamplingData[[#This Row],[Total]]&lt;&gt; 0, NOT(ISBLANK(SamplingData[[#This Row],[Candidate 3]]))),(SamplingData[[#This Row],[Total]]+SamplingData[[#This Row],[Winning Candidate]]-SamplingData[[#This Row],[Candidate 3]])/(SamplingData[[#Totals],[Winning Candidate]]-SamplingData[[#Totals],[Candidate 3]]), 0)</f>
        <v>3.3867690223526756E-4</v>
      </c>
      <c r="S130" s="100">
        <f>IF(AND(SamplingData[[#This Row],[Total]]&lt;&gt; 0, NOT(ISBLANK(SamplingData[[#This Row],[Candidate 4]]))),(SamplingData[[#This Row],[Total]]+SamplingData[[#This Row],[Winning Candidate]]-SamplingData[[#This Row],[Candidate 4]])/(SamplingData[[#Totals],[Winning Candidate]]-SamplingData[[#Totals],[Candidate 4]]), 0)</f>
        <v>0</v>
      </c>
      <c r="T130" s="100">
        <f>IF(AND(SamplingData[[#This Row],[Total]]&lt;&gt; 0, NOT(ISBLANK(SamplingData[[#This Row],[Candidate 5]]))),(SamplingData[[#This Row],[Total]]+SamplingData[[#This Row],[Winning Candidate]]-SamplingData[[#This Row],[Candidate 5]])/(SamplingData[[#Totals],[Winning Candidate]]-SamplingData[[#Totals],[Candidate 5]]), 0)</f>
        <v>0</v>
      </c>
      <c r="U130" s="100">
        <f>IF(AND(SamplingData[[#This Row],[Total]]&lt;&gt; 0, NOT(ISBLANK(SamplingData[[#This Row],[Candidate 6]]))),(SamplingData[[#This Row],[Total]]+SamplingData[[#This Row],[Losing Candidate]]-SamplingData[[#This Row],[Candidate 6]])/(SamplingData[[#Totals],[Winning Candidate]]-SamplingData[[#Totals],[Candidate 6]]), 0)</f>
        <v>0</v>
      </c>
      <c r="V130" s="100">
        <f>IF(AND(SamplingData[[#This Row],[Total]]&lt;&gt; 0, NOT(ISBLANK(SamplingData[[#This Row],[Candidate 7]]))),(SamplingData[[#This Row],[Total]]+SamplingData[[#This Row],[Winning Candidate]]-SamplingData[[#This Row],[Candidate 7]])/(SamplingData[[#Totals],[Winning Candidate]]-SamplingData[[#Totals],[Candidate 7]]), 0)</f>
        <v>0</v>
      </c>
      <c r="W130" s="100">
        <f>IF(AND(SamplingData[[#This Row],[Total]]&lt;&gt; 0, NOT(ISBLANK(SamplingData[[#This Row],[Candidate 8]]))),(SamplingData[[#This Row],[Total]]+SamplingData[[#This Row],[Winning Candidate]]-SamplingData[[#This Row],[Candidate 8]])/(SamplingData[[#Totals],[Winning Candidate]]-SamplingData[[#Totals],[Candidate 8]]), 0)</f>
        <v>0</v>
      </c>
      <c r="X1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0" s="100">
        <f>MAX(SamplingData[[#This Row],[Error Bound (up) - Max. possible relative overstatement - Losing Candidate]:[Error Bound (up) - Max. possible relative overstatement - Candidate 12]])</f>
        <v>3.7924277858542444E-4</v>
      </c>
      <c r="AC130" s="100">
        <f>IF(SamplingData[[#This Row],[Max Error Bound (up)]] = 0,0,SamplingData[[#This Row],[Max Error Bound (up)]]/SamplingData[[#Totals],[Max Error Bound (up)]])</f>
        <v>1.5391778673196313E-4</v>
      </c>
      <c r="AD130" s="104">
        <f>SUM($AC$5:AC130)</f>
        <v>0.1325819196417965</v>
      </c>
      <c r="AE130" s="100" t="str" cm="1">
        <f t="array" ref="AE130">IF(SamplingData[[#This Row],[up/U Selection Probability]] = 0, "Zero", TEXT(SamplingData[[#This Row],[Lower Range]], REPT("0",LEN('General Info'!$B$42))) &amp; " - " &amp; TEXT(SamplingData[[#This Row],[Upper Range]], REPT("0",LEN('General Info'!$B$42))))</f>
        <v>13243 - 13257</v>
      </c>
      <c r="AF130" s="100">
        <f>SamplingData[[#This Row],[Upper Range]]-SamplingData[[#This Row],[Span]]</f>
        <v>13242.800185506454</v>
      </c>
      <c r="AG130" s="100">
        <f>IF(ISNUMBER('General Info'!$B$42), ((SamplingData[[#This Row],[up/U Selection Probability]]) * 'General Info'!$B$44) - 1, 0)</f>
        <v>14.391778673196313</v>
      </c>
      <c r="AH130" s="100">
        <f>IF(ISNUMBER('General Info'!$B$42), (SamplingData[[#This Row],[Running (cumulative) sum]] * ('General Info'!$B$42 -'General Info'!$B$43 + 1)) + 'General Info'!$B$43 - 1, 0)</f>
        <v>13257.19196417965</v>
      </c>
      <c r="AI130" s="100" t="str">
        <f>IF(ISERROR(MATCH(SamplingData[[#This Row],[Batch by Type (p)]],SelectedPrecincts[Batch Name], 0)), "", INDEX(SelectedPrecincts[Draw], MATCH(SamplingData[[#This Row],[Batch by Type (p)]],SelectedPrecincts[Batch Name], 0)))</f>
        <v/>
      </c>
      <c r="AJ130" s="101">
        <f>IF(COUNTIF(SelectedPrecincts[Batch Name],SamplingData[[#This Row],[Batch by Type (p)]]) &lt;&gt; 0, COUNTIF(SelectedPrecincts[Batch Name],SamplingData[[#This Row],[Batch by Type (p)]]), 0)</f>
        <v>0</v>
      </c>
    </row>
    <row r="131" spans="1:36" ht="15" customHeight="1" x14ac:dyDescent="0.35">
      <c r="A131" s="98" t="s">
        <v>342</v>
      </c>
      <c r="B131" s="98">
        <v>6</v>
      </c>
      <c r="C131" s="98">
        <v>4</v>
      </c>
      <c r="D131" s="93">
        <v>0</v>
      </c>
      <c r="E131" s="93"/>
      <c r="F131" s="93"/>
      <c r="G131" s="97"/>
      <c r="H131" s="97"/>
      <c r="I131" s="93"/>
      <c r="J131" s="93"/>
      <c r="K131" s="93"/>
      <c r="L131" s="93"/>
      <c r="M131" s="93"/>
      <c r="N131" s="98">
        <v>0</v>
      </c>
      <c r="O131" s="98">
        <v>0</v>
      </c>
      <c r="P131" s="99">
        <f>SUM(SamplingData[[#This Row],[Winning Candidate]:[Under Votes]])</f>
        <v>10</v>
      </c>
      <c r="Q131"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31" s="100">
        <f>IF(AND(SamplingData[[#This Row],[Total]]&lt;&gt; 0, NOT(ISBLANK(SamplingData[[#This Row],[Candidate 3]]))),(SamplingData[[#This Row],[Total]]+SamplingData[[#This Row],[Winning Candidate]]-SamplingData[[#This Row],[Candidate 3]])/(SamplingData[[#Totals],[Winning Candidate]]-SamplingData[[#Totals],[Candidate 3]]), 0)</f>
        <v>9.0313840596071345E-4</v>
      </c>
      <c r="S131" s="100">
        <f>IF(AND(SamplingData[[#This Row],[Total]]&lt;&gt; 0, NOT(ISBLANK(SamplingData[[#This Row],[Candidate 4]]))),(SamplingData[[#This Row],[Total]]+SamplingData[[#This Row],[Winning Candidate]]-SamplingData[[#This Row],[Candidate 4]])/(SamplingData[[#Totals],[Winning Candidate]]-SamplingData[[#Totals],[Candidate 4]]), 0)</f>
        <v>0</v>
      </c>
      <c r="T131" s="100">
        <f>IF(AND(SamplingData[[#This Row],[Total]]&lt;&gt; 0, NOT(ISBLANK(SamplingData[[#This Row],[Candidate 5]]))),(SamplingData[[#This Row],[Total]]+SamplingData[[#This Row],[Winning Candidate]]-SamplingData[[#This Row],[Candidate 5]])/(SamplingData[[#Totals],[Winning Candidate]]-SamplingData[[#Totals],[Candidate 5]]), 0)</f>
        <v>0</v>
      </c>
      <c r="U131" s="100">
        <f>IF(AND(SamplingData[[#This Row],[Total]]&lt;&gt; 0, NOT(ISBLANK(SamplingData[[#This Row],[Candidate 6]]))),(SamplingData[[#This Row],[Total]]+SamplingData[[#This Row],[Losing Candidate]]-SamplingData[[#This Row],[Candidate 6]])/(SamplingData[[#Totals],[Winning Candidate]]-SamplingData[[#Totals],[Candidate 6]]), 0)</f>
        <v>0</v>
      </c>
      <c r="V131" s="100">
        <f>IF(AND(SamplingData[[#This Row],[Total]]&lt;&gt; 0, NOT(ISBLANK(SamplingData[[#This Row],[Candidate 7]]))),(SamplingData[[#This Row],[Total]]+SamplingData[[#This Row],[Winning Candidate]]-SamplingData[[#This Row],[Candidate 7]])/(SamplingData[[#Totals],[Winning Candidate]]-SamplingData[[#Totals],[Candidate 7]]), 0)</f>
        <v>0</v>
      </c>
      <c r="W131" s="100">
        <f>IF(AND(SamplingData[[#This Row],[Total]]&lt;&gt; 0, NOT(ISBLANK(SamplingData[[#This Row],[Candidate 8]]))),(SamplingData[[#This Row],[Total]]+SamplingData[[#This Row],[Winning Candidate]]-SamplingData[[#This Row],[Candidate 8]])/(SamplingData[[#Totals],[Winning Candidate]]-SamplingData[[#Totals],[Candidate 8]]), 0)</f>
        <v>0</v>
      </c>
      <c r="X1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1" s="100">
        <f>MAX(SamplingData[[#This Row],[Error Bound (up) - Max. possible relative overstatement - Losing Candidate]:[Error Bound (up) - Max. possible relative overstatement - Candidate 12]])</f>
        <v>9.0313840596071345E-4</v>
      </c>
      <c r="AC131" s="100">
        <f>IF(SamplingData[[#This Row],[Max Error Bound (up)]] = 0,0,SamplingData[[#This Row],[Max Error Bound (up)]]/SamplingData[[#Totals],[Max Error Bound (up)]])</f>
        <v>3.6654373506229981E-4</v>
      </c>
      <c r="AD131" s="104">
        <f>SUM($AC$5:AC131)</f>
        <v>0.13294846337685881</v>
      </c>
      <c r="AE131" s="100" t="str" cm="1">
        <f t="array" ref="AE131">IF(SamplingData[[#This Row],[up/U Selection Probability]] = 0, "Zero", TEXT(SamplingData[[#This Row],[Lower Range]], REPT("0",LEN('General Info'!$B$42))) &amp; " - " &amp; TEXT(SamplingData[[#This Row],[Upper Range]], REPT("0",LEN('General Info'!$B$42))))</f>
        <v>13258 - 13294</v>
      </c>
      <c r="AF131" s="100">
        <f>SamplingData[[#This Row],[Upper Range]]-SamplingData[[#This Row],[Span]]</f>
        <v>13258.191964179652</v>
      </c>
      <c r="AG131" s="100">
        <f>IF(ISNUMBER('General Info'!$B$42), ((SamplingData[[#This Row],[up/U Selection Probability]]) * 'General Info'!$B$44) - 1, 0)</f>
        <v>35.65437350622998</v>
      </c>
      <c r="AH131" s="100">
        <f>IF(ISNUMBER('General Info'!$B$42), (SamplingData[[#This Row],[Running (cumulative) sum]] * ('General Info'!$B$42 -'General Info'!$B$43 + 1)) + 'General Info'!$B$43 - 1, 0)</f>
        <v>13293.846337685882</v>
      </c>
      <c r="AI131" s="100" t="str">
        <f>IF(ISERROR(MATCH(SamplingData[[#This Row],[Batch by Type (p)]],SelectedPrecincts[Batch Name], 0)), "", INDEX(SelectedPrecincts[Draw], MATCH(SamplingData[[#This Row],[Batch by Type (p)]],SelectedPrecincts[Batch Name], 0)))</f>
        <v/>
      </c>
      <c r="AJ131" s="101">
        <f>IF(COUNTIF(SelectedPrecincts[Batch Name],SamplingData[[#This Row],[Batch by Type (p)]]) &lt;&gt; 0, COUNTIF(SelectedPrecincts[Batch Name],SamplingData[[#This Row],[Batch by Type (p)]]), 0)</f>
        <v>0</v>
      </c>
    </row>
    <row r="132" spans="1:36" ht="15" customHeight="1" x14ac:dyDescent="0.35">
      <c r="A132" s="98" t="s">
        <v>343</v>
      </c>
      <c r="B132" s="98">
        <v>5</v>
      </c>
      <c r="C132" s="98">
        <v>0</v>
      </c>
      <c r="D132" s="93">
        <v>1</v>
      </c>
      <c r="E132" s="93"/>
      <c r="F132" s="93"/>
      <c r="G132" s="97"/>
      <c r="H132" s="97"/>
      <c r="I132" s="93"/>
      <c r="J132" s="93"/>
      <c r="K132" s="93"/>
      <c r="L132" s="93"/>
      <c r="M132" s="93"/>
      <c r="N132" s="98">
        <v>0</v>
      </c>
      <c r="O132" s="98">
        <v>0</v>
      </c>
      <c r="P132" s="99">
        <f>SUM(SamplingData[[#This Row],[Winning Candidate]:[Under Votes]])</f>
        <v>6</v>
      </c>
      <c r="Q132" s="100">
        <f>IF(AND(SamplingData[[#This Row],[Total]]&lt;&gt; 0, NOT(ISBLANK(SamplingData[[#This Row],[Losing Candidate]]))),(SamplingData[[#This Row],[Total]]+SamplingData[[#This Row],[Winning Candidate]]-SamplingData[[#This Row],[Losing Candidate]])/(SamplingData[[#Totals],[Winning Candidate]]-SamplingData[[#Totals],[Losing Candidate]]), 0)</f>
        <v>6.9527842740661143E-4</v>
      </c>
      <c r="R132" s="100">
        <f>IF(AND(SamplingData[[#This Row],[Total]]&lt;&gt; 0, NOT(ISBLANK(SamplingData[[#This Row],[Candidate 3]]))),(SamplingData[[#This Row],[Total]]+SamplingData[[#This Row],[Winning Candidate]]-SamplingData[[#This Row],[Candidate 3]])/(SamplingData[[#Totals],[Winning Candidate]]-SamplingData[[#Totals],[Candidate 3]]), 0)</f>
        <v>5.6446150372544595E-4</v>
      </c>
      <c r="S132" s="100">
        <f>IF(AND(SamplingData[[#This Row],[Total]]&lt;&gt; 0, NOT(ISBLANK(SamplingData[[#This Row],[Candidate 4]]))),(SamplingData[[#This Row],[Total]]+SamplingData[[#This Row],[Winning Candidate]]-SamplingData[[#This Row],[Candidate 4]])/(SamplingData[[#Totals],[Winning Candidate]]-SamplingData[[#Totals],[Candidate 4]]), 0)</f>
        <v>0</v>
      </c>
      <c r="T132" s="100">
        <f>IF(AND(SamplingData[[#This Row],[Total]]&lt;&gt; 0, NOT(ISBLANK(SamplingData[[#This Row],[Candidate 5]]))),(SamplingData[[#This Row],[Total]]+SamplingData[[#This Row],[Winning Candidate]]-SamplingData[[#This Row],[Candidate 5]])/(SamplingData[[#Totals],[Winning Candidate]]-SamplingData[[#Totals],[Candidate 5]]), 0)</f>
        <v>0</v>
      </c>
      <c r="U132" s="100">
        <f>IF(AND(SamplingData[[#This Row],[Total]]&lt;&gt; 0, NOT(ISBLANK(SamplingData[[#This Row],[Candidate 6]]))),(SamplingData[[#This Row],[Total]]+SamplingData[[#This Row],[Losing Candidate]]-SamplingData[[#This Row],[Candidate 6]])/(SamplingData[[#Totals],[Winning Candidate]]-SamplingData[[#Totals],[Candidate 6]]), 0)</f>
        <v>0</v>
      </c>
      <c r="V132" s="100">
        <f>IF(AND(SamplingData[[#This Row],[Total]]&lt;&gt; 0, NOT(ISBLANK(SamplingData[[#This Row],[Candidate 7]]))),(SamplingData[[#This Row],[Total]]+SamplingData[[#This Row],[Winning Candidate]]-SamplingData[[#This Row],[Candidate 7]])/(SamplingData[[#Totals],[Winning Candidate]]-SamplingData[[#Totals],[Candidate 7]]), 0)</f>
        <v>0</v>
      </c>
      <c r="W132" s="100">
        <f>IF(AND(SamplingData[[#This Row],[Total]]&lt;&gt; 0, NOT(ISBLANK(SamplingData[[#This Row],[Candidate 8]]))),(SamplingData[[#This Row],[Total]]+SamplingData[[#This Row],[Winning Candidate]]-SamplingData[[#This Row],[Candidate 8]])/(SamplingData[[#Totals],[Winning Candidate]]-SamplingData[[#Totals],[Candidate 8]]), 0)</f>
        <v>0</v>
      </c>
      <c r="X1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2" s="100">
        <f>MAX(SamplingData[[#This Row],[Error Bound (up) - Max. possible relative overstatement - Losing Candidate]:[Error Bound (up) - Max. possible relative overstatement - Candidate 12]])</f>
        <v>6.9527842740661143E-4</v>
      </c>
      <c r="AC132" s="100">
        <f>IF(SamplingData[[#This Row],[Max Error Bound (up)]] = 0,0,SamplingData[[#This Row],[Max Error Bound (up)]]/SamplingData[[#Totals],[Max Error Bound (up)]])</f>
        <v>2.8218260900859905E-4</v>
      </c>
      <c r="AD132" s="104">
        <f>SUM($AC$5:AC132)</f>
        <v>0.1332306459858674</v>
      </c>
      <c r="AE132" s="100" t="str" cm="1">
        <f t="array" ref="AE132">IF(SamplingData[[#This Row],[up/U Selection Probability]] = 0, "Zero", TEXT(SamplingData[[#This Row],[Lower Range]], REPT("0",LEN('General Info'!$B$42))) &amp; " - " &amp; TEXT(SamplingData[[#This Row],[Upper Range]], REPT("0",LEN('General Info'!$B$42))))</f>
        <v>13295 - 13322</v>
      </c>
      <c r="AF132" s="100">
        <f>SamplingData[[#This Row],[Upper Range]]-SamplingData[[#This Row],[Span]]</f>
        <v>13294.84633768588</v>
      </c>
      <c r="AG132" s="100">
        <f>IF(ISNUMBER('General Info'!$B$42), ((SamplingData[[#This Row],[up/U Selection Probability]]) * 'General Info'!$B$44) - 1, 0)</f>
        <v>27.218260900859903</v>
      </c>
      <c r="AH132" s="100">
        <f>IF(ISNUMBER('General Info'!$B$42), (SamplingData[[#This Row],[Running (cumulative) sum]] * ('General Info'!$B$42 -'General Info'!$B$43 + 1)) + 'General Info'!$B$43 - 1, 0)</f>
        <v>13322.06459858674</v>
      </c>
      <c r="AI132" s="100" t="str">
        <f>IF(ISERROR(MATCH(SamplingData[[#This Row],[Batch by Type (p)]],SelectedPrecincts[Batch Name], 0)), "", INDEX(SelectedPrecincts[Draw], MATCH(SamplingData[[#This Row],[Batch by Type (p)]],SelectedPrecincts[Batch Name], 0)))</f>
        <v/>
      </c>
      <c r="AJ132" s="101">
        <f>IF(COUNTIF(SelectedPrecincts[Batch Name],SamplingData[[#This Row],[Batch by Type (p)]]) &lt;&gt; 0, COUNTIF(SelectedPrecincts[Batch Name],SamplingData[[#This Row],[Batch by Type (p)]]), 0)</f>
        <v>0</v>
      </c>
    </row>
    <row r="133" spans="1:36" ht="15" customHeight="1" x14ac:dyDescent="0.35">
      <c r="A133" s="98" t="s">
        <v>344</v>
      </c>
      <c r="B133" s="98">
        <v>2</v>
      </c>
      <c r="C133" s="98">
        <v>0</v>
      </c>
      <c r="D133" s="93">
        <v>0</v>
      </c>
      <c r="E133" s="93"/>
      <c r="F133" s="93"/>
      <c r="G133" s="97"/>
      <c r="H133" s="97"/>
      <c r="I133" s="93"/>
      <c r="J133" s="93"/>
      <c r="K133" s="93"/>
      <c r="L133" s="93"/>
      <c r="M133" s="93"/>
      <c r="N133" s="98">
        <v>0</v>
      </c>
      <c r="O133" s="98">
        <v>0</v>
      </c>
      <c r="P133" s="99">
        <f>SUM(SamplingData[[#This Row],[Winning Candidate]:[Under Votes]])</f>
        <v>2</v>
      </c>
      <c r="Q133"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2.5282851905694963E-4</v>
      </c>
      <c r="R133" s="100">
        <f>IF(AND(SamplingData[[#This Row],[Total]]&lt;&gt; 0, NOT(ISBLANK(SamplingData[[#This Row],[Candidate 3]]))),(SamplingData[[#This Row],[Total]]+SamplingData[[#This Row],[Winning Candidate]]-SamplingData[[#This Row],[Candidate 3]])/(SamplingData[[#Totals],[Winning Candidate]]-SamplingData[[#Totals],[Candidate 3]]), 0)</f>
        <v>2.2578460149017836E-4</v>
      </c>
      <c r="S133" s="100">
        <f>IF(AND(SamplingData[[#This Row],[Total]]&lt;&gt; 0, NOT(ISBLANK(SamplingData[[#This Row],[Candidate 4]]))),(SamplingData[[#This Row],[Total]]+SamplingData[[#This Row],[Winning Candidate]]-SamplingData[[#This Row],[Candidate 4]])/(SamplingData[[#Totals],[Winning Candidate]]-SamplingData[[#Totals],[Candidate 4]]), 0)</f>
        <v>0</v>
      </c>
      <c r="T133" s="100">
        <f>IF(AND(SamplingData[[#This Row],[Total]]&lt;&gt; 0, NOT(ISBLANK(SamplingData[[#This Row],[Candidate 5]]))),(SamplingData[[#This Row],[Total]]+SamplingData[[#This Row],[Winning Candidate]]-SamplingData[[#This Row],[Candidate 5]])/(SamplingData[[#Totals],[Winning Candidate]]-SamplingData[[#Totals],[Candidate 5]]), 0)</f>
        <v>0</v>
      </c>
      <c r="U133" s="100">
        <f>IF(AND(SamplingData[[#This Row],[Total]]&lt;&gt; 0, NOT(ISBLANK(SamplingData[[#This Row],[Candidate 6]]))),(SamplingData[[#This Row],[Total]]+SamplingData[[#This Row],[Losing Candidate]]-SamplingData[[#This Row],[Candidate 6]])/(SamplingData[[#Totals],[Winning Candidate]]-SamplingData[[#Totals],[Candidate 6]]), 0)</f>
        <v>0</v>
      </c>
      <c r="V133" s="100">
        <f>IF(AND(SamplingData[[#This Row],[Total]]&lt;&gt; 0, NOT(ISBLANK(SamplingData[[#This Row],[Candidate 7]]))),(SamplingData[[#This Row],[Total]]+SamplingData[[#This Row],[Winning Candidate]]-SamplingData[[#This Row],[Candidate 7]])/(SamplingData[[#Totals],[Winning Candidate]]-SamplingData[[#Totals],[Candidate 7]]), 0)</f>
        <v>0</v>
      </c>
      <c r="W133" s="100">
        <f>IF(AND(SamplingData[[#This Row],[Total]]&lt;&gt; 0, NOT(ISBLANK(SamplingData[[#This Row],[Candidate 8]]))),(SamplingData[[#This Row],[Total]]+SamplingData[[#This Row],[Winning Candidate]]-SamplingData[[#This Row],[Candidate 8]])/(SamplingData[[#Totals],[Winning Candidate]]-SamplingData[[#Totals],[Candidate 8]]), 0)</f>
        <v>0</v>
      </c>
      <c r="X1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3" s="100">
        <f>MAX(SamplingData[[#This Row],[Error Bound (up) - Max. possible relative overstatement - Losing Candidate]:[Error Bound (up) - Max. possible relative overstatement - Candidate 12]])</f>
        <v>2.5282851905694963E-4</v>
      </c>
      <c r="AC133" s="100">
        <f>IF(SamplingData[[#This Row],[Max Error Bound (up)]] = 0,0,SamplingData[[#This Row],[Max Error Bound (up)]]/SamplingData[[#Totals],[Max Error Bound (up)]])</f>
        <v>1.0261185782130876E-4</v>
      </c>
      <c r="AD133" s="104">
        <f>SUM($AC$5:AC133)</f>
        <v>0.13333325784368871</v>
      </c>
      <c r="AE133" s="100" t="str" cm="1">
        <f t="array" ref="AE133">IF(SamplingData[[#This Row],[up/U Selection Probability]] = 0, "Zero", TEXT(SamplingData[[#This Row],[Lower Range]], REPT("0",LEN('General Info'!$B$42))) &amp; " - " &amp; TEXT(SamplingData[[#This Row],[Upper Range]], REPT("0",LEN('General Info'!$B$42))))</f>
        <v>13323 - 13332</v>
      </c>
      <c r="AF133" s="100">
        <f>SamplingData[[#This Row],[Upper Range]]-SamplingData[[#This Row],[Span]]</f>
        <v>13323.064598586741</v>
      </c>
      <c r="AG133" s="100">
        <f>IF(ISNUMBER('General Info'!$B$42), ((SamplingData[[#This Row],[up/U Selection Probability]]) * 'General Info'!$B$44) - 1, 0)</f>
        <v>9.2611857821308767</v>
      </c>
      <c r="AH133" s="100">
        <f>IF(ISNUMBER('General Info'!$B$42), (SamplingData[[#This Row],[Running (cumulative) sum]] * ('General Info'!$B$42 -'General Info'!$B$43 + 1)) + 'General Info'!$B$43 - 1, 0)</f>
        <v>13332.325784368872</v>
      </c>
      <c r="AI133" s="100" t="str">
        <f>IF(ISERROR(MATCH(SamplingData[[#This Row],[Batch by Type (p)]],SelectedPrecincts[Batch Name], 0)), "", INDEX(SelectedPrecincts[Draw], MATCH(SamplingData[[#This Row],[Batch by Type (p)]],SelectedPrecincts[Batch Name], 0)))</f>
        <v/>
      </c>
      <c r="AJ133" s="101">
        <f>IF(COUNTIF(SelectedPrecincts[Batch Name],SamplingData[[#This Row],[Batch by Type (p)]]) &lt;&gt; 0, COUNTIF(SelectedPrecincts[Batch Name],SamplingData[[#This Row],[Batch by Type (p)]]), 0)</f>
        <v>0</v>
      </c>
    </row>
    <row r="134" spans="1:36" ht="15" customHeight="1" x14ac:dyDescent="0.35">
      <c r="A134" s="98" t="s">
        <v>345</v>
      </c>
      <c r="B134" s="98">
        <v>17</v>
      </c>
      <c r="C134" s="98">
        <v>0</v>
      </c>
      <c r="D134" s="93">
        <v>3</v>
      </c>
      <c r="E134" s="93"/>
      <c r="F134" s="93"/>
      <c r="G134" s="97"/>
      <c r="H134" s="97"/>
      <c r="I134" s="93"/>
      <c r="J134" s="93"/>
      <c r="K134" s="93"/>
      <c r="L134" s="93"/>
      <c r="M134" s="93"/>
      <c r="N134" s="98">
        <v>0</v>
      </c>
      <c r="O134" s="98">
        <v>0</v>
      </c>
      <c r="P134" s="99">
        <f>SUM(SamplingData[[#This Row],[Winning Candidate]:[Under Votes]])</f>
        <v>20</v>
      </c>
      <c r="Q134" s="100">
        <f>IF(AND(SamplingData[[#This Row],[Total]]&lt;&gt; 0, NOT(ISBLANK(SamplingData[[#This Row],[Losing Candidate]]))),(SamplingData[[#This Row],[Total]]+SamplingData[[#This Row],[Winning Candidate]]-SamplingData[[#This Row],[Losing Candidate]])/(SamplingData[[#Totals],[Winning Candidate]]-SamplingData[[#Totals],[Losing Candidate]]), 0)</f>
        <v>2.338663801276784E-3</v>
      </c>
      <c r="R134" s="100">
        <f>IF(AND(SamplingData[[#This Row],[Total]]&lt;&gt; 0, NOT(ISBLANK(SamplingData[[#This Row],[Candidate 3]]))),(SamplingData[[#This Row],[Total]]+SamplingData[[#This Row],[Winning Candidate]]-SamplingData[[#This Row],[Candidate 3]])/(SamplingData[[#Totals],[Winning Candidate]]-SamplingData[[#Totals],[Candidate 3]]), 0)</f>
        <v>1.9191691126665162E-3</v>
      </c>
      <c r="S134" s="100">
        <f>IF(AND(SamplingData[[#This Row],[Total]]&lt;&gt; 0, NOT(ISBLANK(SamplingData[[#This Row],[Candidate 4]]))),(SamplingData[[#This Row],[Total]]+SamplingData[[#This Row],[Winning Candidate]]-SamplingData[[#This Row],[Candidate 4]])/(SamplingData[[#Totals],[Winning Candidate]]-SamplingData[[#Totals],[Candidate 4]]), 0)</f>
        <v>0</v>
      </c>
      <c r="T134" s="100">
        <f>IF(AND(SamplingData[[#This Row],[Total]]&lt;&gt; 0, NOT(ISBLANK(SamplingData[[#This Row],[Candidate 5]]))),(SamplingData[[#This Row],[Total]]+SamplingData[[#This Row],[Winning Candidate]]-SamplingData[[#This Row],[Candidate 5]])/(SamplingData[[#Totals],[Winning Candidate]]-SamplingData[[#Totals],[Candidate 5]]), 0)</f>
        <v>0</v>
      </c>
      <c r="U134" s="100">
        <f>IF(AND(SamplingData[[#This Row],[Total]]&lt;&gt; 0, NOT(ISBLANK(SamplingData[[#This Row],[Candidate 6]]))),(SamplingData[[#This Row],[Total]]+SamplingData[[#This Row],[Losing Candidate]]-SamplingData[[#This Row],[Candidate 6]])/(SamplingData[[#Totals],[Winning Candidate]]-SamplingData[[#Totals],[Candidate 6]]), 0)</f>
        <v>0</v>
      </c>
      <c r="V134" s="100">
        <f>IF(AND(SamplingData[[#This Row],[Total]]&lt;&gt; 0, NOT(ISBLANK(SamplingData[[#This Row],[Candidate 7]]))),(SamplingData[[#This Row],[Total]]+SamplingData[[#This Row],[Winning Candidate]]-SamplingData[[#This Row],[Candidate 7]])/(SamplingData[[#Totals],[Winning Candidate]]-SamplingData[[#Totals],[Candidate 7]]), 0)</f>
        <v>0</v>
      </c>
      <c r="W134" s="100">
        <f>IF(AND(SamplingData[[#This Row],[Total]]&lt;&gt; 0, NOT(ISBLANK(SamplingData[[#This Row],[Candidate 8]]))),(SamplingData[[#This Row],[Total]]+SamplingData[[#This Row],[Winning Candidate]]-SamplingData[[#This Row],[Candidate 8]])/(SamplingData[[#Totals],[Winning Candidate]]-SamplingData[[#Totals],[Candidate 8]]), 0)</f>
        <v>0</v>
      </c>
      <c r="X1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4" s="100">
        <f>MAX(SamplingData[[#This Row],[Error Bound (up) - Max. possible relative overstatement - Losing Candidate]:[Error Bound (up) - Max. possible relative overstatement - Candidate 12]])</f>
        <v>2.338663801276784E-3</v>
      </c>
      <c r="AC134" s="100">
        <f>IF(SamplingData[[#This Row],[Max Error Bound (up)]] = 0,0,SamplingData[[#This Row],[Max Error Bound (up)]]/SamplingData[[#Totals],[Max Error Bound (up)]])</f>
        <v>9.4915968484710598E-4</v>
      </c>
      <c r="AD134" s="104">
        <f>SUM($AC$5:AC134)</f>
        <v>0.13428241752853581</v>
      </c>
      <c r="AE134" s="100" t="str" cm="1">
        <f t="array" ref="AE134">IF(SamplingData[[#This Row],[up/U Selection Probability]] = 0, "Zero", TEXT(SamplingData[[#This Row],[Lower Range]], REPT("0",LEN('General Info'!$B$42))) &amp; " - " &amp; TEXT(SamplingData[[#This Row],[Upper Range]], REPT("0",LEN('General Info'!$B$42))))</f>
        <v>13333 - 13427</v>
      </c>
      <c r="AF134" s="100">
        <f>SamplingData[[#This Row],[Upper Range]]-SamplingData[[#This Row],[Span]]</f>
        <v>13333.32578436887</v>
      </c>
      <c r="AG134" s="100">
        <f>IF(ISNUMBER('General Info'!$B$42), ((SamplingData[[#This Row],[up/U Selection Probability]]) * 'General Info'!$B$44) - 1, 0)</f>
        <v>93.915968484710604</v>
      </c>
      <c r="AH134" s="100">
        <f>IF(ISNUMBER('General Info'!$B$42), (SamplingData[[#This Row],[Running (cumulative) sum]] * ('General Info'!$B$42 -'General Info'!$B$43 + 1)) + 'General Info'!$B$43 - 1, 0)</f>
        <v>13427.241752853581</v>
      </c>
      <c r="AI134" s="100" t="str">
        <f>IF(ISERROR(MATCH(SamplingData[[#This Row],[Batch by Type (p)]],SelectedPrecincts[Batch Name], 0)), "", INDEX(SelectedPrecincts[Draw], MATCH(SamplingData[[#This Row],[Batch by Type (p)]],SelectedPrecincts[Batch Name], 0)))</f>
        <v/>
      </c>
      <c r="AJ134" s="101">
        <f>IF(COUNTIF(SelectedPrecincts[Batch Name],SamplingData[[#This Row],[Batch by Type (p)]]) &lt;&gt; 0, COUNTIF(SelectedPrecincts[Batch Name],SamplingData[[#This Row],[Batch by Type (p)]]), 0)</f>
        <v>0</v>
      </c>
    </row>
    <row r="135" spans="1:36" ht="15" customHeight="1" x14ac:dyDescent="0.35">
      <c r="A135" s="98" t="s">
        <v>346</v>
      </c>
      <c r="B135" s="98">
        <v>12</v>
      </c>
      <c r="C135" s="98">
        <v>0</v>
      </c>
      <c r="D135" s="93">
        <v>0</v>
      </c>
      <c r="E135" s="93"/>
      <c r="F135" s="93"/>
      <c r="G135" s="97"/>
      <c r="H135" s="97"/>
      <c r="I135" s="93"/>
      <c r="J135" s="93"/>
      <c r="K135" s="93"/>
      <c r="L135" s="93"/>
      <c r="M135" s="93"/>
      <c r="N135" s="98">
        <v>0</v>
      </c>
      <c r="O135" s="98">
        <v>0</v>
      </c>
      <c r="P135" s="99">
        <f>SUM(SamplingData[[#This Row],[Winning Candidate]:[Under Votes]])</f>
        <v>12</v>
      </c>
      <c r="Q135" s="100">
        <f>IF(AND(SamplingData[[#This Row],[Total]]&lt;&gt; 0, NOT(ISBLANK(SamplingData[[#This Row],[Losing Candidate]]))),(SamplingData[[#This Row],[Total]]+SamplingData[[#This Row],[Winning Candidate]]-SamplingData[[#This Row],[Losing Candidate]])/(SamplingData[[#Totals],[Winning Candidate]]-SamplingData[[#Totals],[Losing Candidate]]), 0)</f>
        <v>1.5169711143416978E-3</v>
      </c>
      <c r="R135" s="100">
        <f>IF(AND(SamplingData[[#This Row],[Total]]&lt;&gt; 0, NOT(ISBLANK(SamplingData[[#This Row],[Candidate 3]]))),(SamplingData[[#This Row],[Total]]+SamplingData[[#This Row],[Winning Candidate]]-SamplingData[[#This Row],[Candidate 3]])/(SamplingData[[#Totals],[Winning Candidate]]-SamplingData[[#Totals],[Candidate 3]]), 0)</f>
        <v>1.3547076089410702E-3</v>
      </c>
      <c r="S135" s="100">
        <f>IF(AND(SamplingData[[#This Row],[Total]]&lt;&gt; 0, NOT(ISBLANK(SamplingData[[#This Row],[Candidate 4]]))),(SamplingData[[#This Row],[Total]]+SamplingData[[#This Row],[Winning Candidate]]-SamplingData[[#This Row],[Candidate 4]])/(SamplingData[[#Totals],[Winning Candidate]]-SamplingData[[#Totals],[Candidate 4]]), 0)</f>
        <v>0</v>
      </c>
      <c r="T135" s="100">
        <f>IF(AND(SamplingData[[#This Row],[Total]]&lt;&gt; 0, NOT(ISBLANK(SamplingData[[#This Row],[Candidate 5]]))),(SamplingData[[#This Row],[Total]]+SamplingData[[#This Row],[Winning Candidate]]-SamplingData[[#This Row],[Candidate 5]])/(SamplingData[[#Totals],[Winning Candidate]]-SamplingData[[#Totals],[Candidate 5]]), 0)</f>
        <v>0</v>
      </c>
      <c r="U135" s="100">
        <f>IF(AND(SamplingData[[#This Row],[Total]]&lt;&gt; 0, NOT(ISBLANK(SamplingData[[#This Row],[Candidate 6]]))),(SamplingData[[#This Row],[Total]]+SamplingData[[#This Row],[Losing Candidate]]-SamplingData[[#This Row],[Candidate 6]])/(SamplingData[[#Totals],[Winning Candidate]]-SamplingData[[#Totals],[Candidate 6]]), 0)</f>
        <v>0</v>
      </c>
      <c r="V135" s="100">
        <f>IF(AND(SamplingData[[#This Row],[Total]]&lt;&gt; 0, NOT(ISBLANK(SamplingData[[#This Row],[Candidate 7]]))),(SamplingData[[#This Row],[Total]]+SamplingData[[#This Row],[Winning Candidate]]-SamplingData[[#This Row],[Candidate 7]])/(SamplingData[[#Totals],[Winning Candidate]]-SamplingData[[#Totals],[Candidate 7]]), 0)</f>
        <v>0</v>
      </c>
      <c r="W135" s="100">
        <f>IF(AND(SamplingData[[#This Row],[Total]]&lt;&gt; 0, NOT(ISBLANK(SamplingData[[#This Row],[Candidate 8]]))),(SamplingData[[#This Row],[Total]]+SamplingData[[#This Row],[Winning Candidate]]-SamplingData[[#This Row],[Candidate 8]])/(SamplingData[[#Totals],[Winning Candidate]]-SamplingData[[#Totals],[Candidate 8]]), 0)</f>
        <v>0</v>
      </c>
      <c r="X1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5" s="100">
        <f>MAX(SamplingData[[#This Row],[Error Bound (up) - Max. possible relative overstatement - Losing Candidate]:[Error Bound (up) - Max. possible relative overstatement - Candidate 12]])</f>
        <v>1.5169711143416978E-3</v>
      </c>
      <c r="AC135" s="100">
        <f>IF(SamplingData[[#This Row],[Max Error Bound (up)]] = 0,0,SamplingData[[#This Row],[Max Error Bound (up)]]/SamplingData[[#Totals],[Max Error Bound (up)]])</f>
        <v>6.1567114692785252E-4</v>
      </c>
      <c r="AD135" s="104">
        <f>SUM($AC$5:AC135)</f>
        <v>0.13489808867546366</v>
      </c>
      <c r="AE135" s="100" t="str" cm="1">
        <f t="array" ref="AE135">IF(SamplingData[[#This Row],[up/U Selection Probability]] = 0, "Zero", TEXT(SamplingData[[#This Row],[Lower Range]], REPT("0",LEN('General Info'!$B$42))) &amp; " - " &amp; TEXT(SamplingData[[#This Row],[Upper Range]], REPT("0",LEN('General Info'!$B$42))))</f>
        <v>13428 - 13489</v>
      </c>
      <c r="AF135" s="100">
        <f>SamplingData[[#This Row],[Upper Range]]-SamplingData[[#This Row],[Span]]</f>
        <v>13428.241752853581</v>
      </c>
      <c r="AG135" s="100">
        <f>IF(ISNUMBER('General Info'!$B$42), ((SamplingData[[#This Row],[up/U Selection Probability]]) * 'General Info'!$B$44) - 1, 0)</f>
        <v>60.567114692785253</v>
      </c>
      <c r="AH135" s="100">
        <f>IF(ISNUMBER('General Info'!$B$42), (SamplingData[[#This Row],[Running (cumulative) sum]] * ('General Info'!$B$42 -'General Info'!$B$43 + 1)) + 'General Info'!$B$43 - 1, 0)</f>
        <v>13488.808867546366</v>
      </c>
      <c r="AI135" s="100" t="str">
        <f>IF(ISERROR(MATCH(SamplingData[[#This Row],[Batch by Type (p)]],SelectedPrecincts[Batch Name], 0)), "", INDEX(SelectedPrecincts[Draw], MATCH(SamplingData[[#This Row],[Batch by Type (p)]],SelectedPrecincts[Batch Name], 0)))</f>
        <v/>
      </c>
      <c r="AJ135" s="101">
        <f>IF(COUNTIF(SelectedPrecincts[Batch Name],SamplingData[[#This Row],[Batch by Type (p)]]) &lt;&gt; 0, COUNTIF(SelectedPrecincts[Batch Name],SamplingData[[#This Row],[Batch by Type (p)]]), 0)</f>
        <v>0</v>
      </c>
    </row>
    <row r="136" spans="1:36" ht="15" customHeight="1" x14ac:dyDescent="0.35">
      <c r="A136" s="98" t="s">
        <v>347</v>
      </c>
      <c r="B136" s="98">
        <v>3</v>
      </c>
      <c r="C136" s="98">
        <v>0</v>
      </c>
      <c r="D136" s="93">
        <v>0</v>
      </c>
      <c r="E136" s="93"/>
      <c r="F136" s="93"/>
      <c r="G136" s="97"/>
      <c r="H136" s="97"/>
      <c r="I136" s="93"/>
      <c r="J136" s="93"/>
      <c r="K136" s="93"/>
      <c r="L136" s="93"/>
      <c r="M136" s="93"/>
      <c r="N136" s="98">
        <v>0</v>
      </c>
      <c r="O136" s="98">
        <v>0</v>
      </c>
      <c r="P136" s="99">
        <f>SUM(SamplingData[[#This Row],[Winning Candidate]:[Under Votes]])</f>
        <v>3</v>
      </c>
      <c r="Q136" s="100">
        <f>IF(AND(SamplingData[[#This Row],[Total]]&lt;&gt; 0, NOT(ISBLANK(SamplingData[[#This Row],[Losing Candidate]]))),(SamplingData[[#This Row],[Total]]+SamplingData[[#This Row],[Winning Candidate]]-SamplingData[[#This Row],[Losing Candidate]])/(SamplingData[[#Totals],[Winning Candidate]]-SamplingData[[#Totals],[Losing Candidate]]), 0)</f>
        <v>3.7924277858542444E-4</v>
      </c>
      <c r="R136" s="100">
        <f>IF(AND(SamplingData[[#This Row],[Total]]&lt;&gt; 0, NOT(ISBLANK(SamplingData[[#This Row],[Candidate 3]]))),(SamplingData[[#This Row],[Total]]+SamplingData[[#This Row],[Winning Candidate]]-SamplingData[[#This Row],[Candidate 3]])/(SamplingData[[#Totals],[Winning Candidate]]-SamplingData[[#Totals],[Candidate 3]]), 0)</f>
        <v>3.3867690223526756E-4</v>
      </c>
      <c r="S136" s="100">
        <f>IF(AND(SamplingData[[#This Row],[Total]]&lt;&gt; 0, NOT(ISBLANK(SamplingData[[#This Row],[Candidate 4]]))),(SamplingData[[#This Row],[Total]]+SamplingData[[#This Row],[Winning Candidate]]-SamplingData[[#This Row],[Candidate 4]])/(SamplingData[[#Totals],[Winning Candidate]]-SamplingData[[#Totals],[Candidate 4]]), 0)</f>
        <v>0</v>
      </c>
      <c r="T136" s="100">
        <f>IF(AND(SamplingData[[#This Row],[Total]]&lt;&gt; 0, NOT(ISBLANK(SamplingData[[#This Row],[Candidate 5]]))),(SamplingData[[#This Row],[Total]]+SamplingData[[#This Row],[Winning Candidate]]-SamplingData[[#This Row],[Candidate 5]])/(SamplingData[[#Totals],[Winning Candidate]]-SamplingData[[#Totals],[Candidate 5]]), 0)</f>
        <v>0</v>
      </c>
      <c r="U136" s="100">
        <f>IF(AND(SamplingData[[#This Row],[Total]]&lt;&gt; 0, NOT(ISBLANK(SamplingData[[#This Row],[Candidate 6]]))),(SamplingData[[#This Row],[Total]]+SamplingData[[#This Row],[Losing Candidate]]-SamplingData[[#This Row],[Candidate 6]])/(SamplingData[[#Totals],[Winning Candidate]]-SamplingData[[#Totals],[Candidate 6]]), 0)</f>
        <v>0</v>
      </c>
      <c r="V136" s="100">
        <f>IF(AND(SamplingData[[#This Row],[Total]]&lt;&gt; 0, NOT(ISBLANK(SamplingData[[#This Row],[Candidate 7]]))),(SamplingData[[#This Row],[Total]]+SamplingData[[#This Row],[Winning Candidate]]-SamplingData[[#This Row],[Candidate 7]])/(SamplingData[[#Totals],[Winning Candidate]]-SamplingData[[#Totals],[Candidate 7]]), 0)</f>
        <v>0</v>
      </c>
      <c r="W136" s="100">
        <f>IF(AND(SamplingData[[#This Row],[Total]]&lt;&gt; 0, NOT(ISBLANK(SamplingData[[#This Row],[Candidate 8]]))),(SamplingData[[#This Row],[Total]]+SamplingData[[#This Row],[Winning Candidate]]-SamplingData[[#This Row],[Candidate 8]])/(SamplingData[[#Totals],[Winning Candidate]]-SamplingData[[#Totals],[Candidate 8]]), 0)</f>
        <v>0</v>
      </c>
      <c r="X1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6" s="100">
        <f>MAX(SamplingData[[#This Row],[Error Bound (up) - Max. possible relative overstatement - Losing Candidate]:[Error Bound (up) - Max. possible relative overstatement - Candidate 12]])</f>
        <v>3.7924277858542444E-4</v>
      </c>
      <c r="AC136" s="100">
        <f>IF(SamplingData[[#This Row],[Max Error Bound (up)]] = 0,0,SamplingData[[#This Row],[Max Error Bound (up)]]/SamplingData[[#Totals],[Max Error Bound (up)]])</f>
        <v>1.5391778673196313E-4</v>
      </c>
      <c r="AD136" s="104">
        <f>SUM($AC$5:AC136)</f>
        <v>0.13505200646219562</v>
      </c>
      <c r="AE136" s="100" t="str" cm="1">
        <f t="array" ref="AE136">IF(SamplingData[[#This Row],[up/U Selection Probability]] = 0, "Zero", TEXT(SamplingData[[#This Row],[Lower Range]], REPT("0",LEN('General Info'!$B$42))) &amp; " - " &amp; TEXT(SamplingData[[#This Row],[Upper Range]], REPT("0",LEN('General Info'!$B$42))))</f>
        <v>13490 - 13504</v>
      </c>
      <c r="AF136" s="100">
        <f>SamplingData[[#This Row],[Upper Range]]-SamplingData[[#This Row],[Span]]</f>
        <v>13489.808867546366</v>
      </c>
      <c r="AG136" s="100">
        <f>IF(ISNUMBER('General Info'!$B$42), ((SamplingData[[#This Row],[up/U Selection Probability]]) * 'General Info'!$B$44) - 1, 0)</f>
        <v>14.391778673196313</v>
      </c>
      <c r="AH136" s="100">
        <f>IF(ISNUMBER('General Info'!$B$42), (SamplingData[[#This Row],[Running (cumulative) sum]] * ('General Info'!$B$42 -'General Info'!$B$43 + 1)) + 'General Info'!$B$43 - 1, 0)</f>
        <v>13504.200646219562</v>
      </c>
      <c r="AI136" s="100" t="str">
        <f>IF(ISERROR(MATCH(SamplingData[[#This Row],[Batch by Type (p)]],SelectedPrecincts[Batch Name], 0)), "", INDEX(SelectedPrecincts[Draw], MATCH(SamplingData[[#This Row],[Batch by Type (p)]],SelectedPrecincts[Batch Name], 0)))</f>
        <v/>
      </c>
      <c r="AJ136" s="101">
        <f>IF(COUNTIF(SelectedPrecincts[Batch Name],SamplingData[[#This Row],[Batch by Type (p)]]) &lt;&gt; 0, COUNTIF(SelectedPrecincts[Batch Name],SamplingData[[#This Row],[Batch by Type (p)]]), 0)</f>
        <v>0</v>
      </c>
    </row>
    <row r="137" spans="1:36" ht="15" customHeight="1" x14ac:dyDescent="0.35">
      <c r="A137" s="98" t="s">
        <v>348</v>
      </c>
      <c r="B137" s="98">
        <v>36</v>
      </c>
      <c r="C137" s="98">
        <v>2</v>
      </c>
      <c r="D137" s="93">
        <v>1</v>
      </c>
      <c r="E137" s="93"/>
      <c r="F137" s="93"/>
      <c r="G137" s="97"/>
      <c r="H137" s="97"/>
      <c r="I137" s="93"/>
      <c r="J137" s="93"/>
      <c r="K137" s="93"/>
      <c r="L137" s="93"/>
      <c r="M137" s="93"/>
      <c r="N137" s="98">
        <v>0</v>
      </c>
      <c r="O137" s="98">
        <v>0</v>
      </c>
      <c r="P137" s="99">
        <f>SUM(SamplingData[[#This Row],[Winning Candidate]:[Under Votes]])</f>
        <v>39</v>
      </c>
      <c r="Q137" s="100">
        <f>IF(AND(SamplingData[[#This Row],[Total]]&lt;&gt; 0, NOT(ISBLANK(SamplingData[[#This Row],[Losing Candidate]]))),(SamplingData[[#This Row],[Total]]+SamplingData[[#This Row],[Winning Candidate]]-SamplingData[[#This Row],[Losing Candidate]])/(SamplingData[[#Totals],[Winning Candidate]]-SamplingData[[#Totals],[Losing Candidate]]), 0)</f>
        <v>4.6141204727893305E-3</v>
      </c>
      <c r="R137" s="100">
        <f>IF(AND(SamplingData[[#This Row],[Total]]&lt;&gt; 0, NOT(ISBLANK(SamplingData[[#This Row],[Candidate 3]]))),(SamplingData[[#This Row],[Total]]+SamplingData[[#This Row],[Winning Candidate]]-SamplingData[[#This Row],[Candidate 3]])/(SamplingData[[#Totals],[Winning Candidate]]-SamplingData[[#Totals],[Candidate 3]]), 0)</f>
        <v>4.1770151275682997E-3</v>
      </c>
      <c r="S137" s="100">
        <f>IF(AND(SamplingData[[#This Row],[Total]]&lt;&gt; 0, NOT(ISBLANK(SamplingData[[#This Row],[Candidate 4]]))),(SamplingData[[#This Row],[Total]]+SamplingData[[#This Row],[Winning Candidate]]-SamplingData[[#This Row],[Candidate 4]])/(SamplingData[[#Totals],[Winning Candidate]]-SamplingData[[#Totals],[Candidate 4]]), 0)</f>
        <v>0</v>
      </c>
      <c r="T137" s="100">
        <f>IF(AND(SamplingData[[#This Row],[Total]]&lt;&gt; 0, NOT(ISBLANK(SamplingData[[#This Row],[Candidate 5]]))),(SamplingData[[#This Row],[Total]]+SamplingData[[#This Row],[Winning Candidate]]-SamplingData[[#This Row],[Candidate 5]])/(SamplingData[[#Totals],[Winning Candidate]]-SamplingData[[#Totals],[Candidate 5]]), 0)</f>
        <v>0</v>
      </c>
      <c r="U137" s="100">
        <f>IF(AND(SamplingData[[#This Row],[Total]]&lt;&gt; 0, NOT(ISBLANK(SamplingData[[#This Row],[Candidate 6]]))),(SamplingData[[#This Row],[Total]]+SamplingData[[#This Row],[Losing Candidate]]-SamplingData[[#This Row],[Candidate 6]])/(SamplingData[[#Totals],[Winning Candidate]]-SamplingData[[#Totals],[Candidate 6]]), 0)</f>
        <v>0</v>
      </c>
      <c r="V137" s="100">
        <f>IF(AND(SamplingData[[#This Row],[Total]]&lt;&gt; 0, NOT(ISBLANK(SamplingData[[#This Row],[Candidate 7]]))),(SamplingData[[#This Row],[Total]]+SamplingData[[#This Row],[Winning Candidate]]-SamplingData[[#This Row],[Candidate 7]])/(SamplingData[[#Totals],[Winning Candidate]]-SamplingData[[#Totals],[Candidate 7]]), 0)</f>
        <v>0</v>
      </c>
      <c r="W137" s="100">
        <f>IF(AND(SamplingData[[#This Row],[Total]]&lt;&gt; 0, NOT(ISBLANK(SamplingData[[#This Row],[Candidate 8]]))),(SamplingData[[#This Row],[Total]]+SamplingData[[#This Row],[Winning Candidate]]-SamplingData[[#This Row],[Candidate 8]])/(SamplingData[[#Totals],[Winning Candidate]]-SamplingData[[#Totals],[Candidate 8]]), 0)</f>
        <v>0</v>
      </c>
      <c r="X1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7" s="100">
        <f>MAX(SamplingData[[#This Row],[Error Bound (up) - Max. possible relative overstatement - Losing Candidate]:[Error Bound (up) - Max. possible relative overstatement - Candidate 12]])</f>
        <v>4.6141204727893305E-3</v>
      </c>
      <c r="AC137" s="100">
        <f>IF(SamplingData[[#This Row],[Max Error Bound (up)]] = 0,0,SamplingData[[#This Row],[Max Error Bound (up)]]/SamplingData[[#Totals],[Max Error Bound (up)]])</f>
        <v>1.8726664052388848E-3</v>
      </c>
      <c r="AD137" s="104">
        <f>SUM($AC$5:AC137)</f>
        <v>0.13692467286743451</v>
      </c>
      <c r="AE137" s="100" t="str" cm="1">
        <f t="array" ref="AE137">IF(SamplingData[[#This Row],[up/U Selection Probability]] = 0, "Zero", TEXT(SamplingData[[#This Row],[Lower Range]], REPT("0",LEN('General Info'!$B$42))) &amp; " - " &amp; TEXT(SamplingData[[#This Row],[Upper Range]], REPT("0",LEN('General Info'!$B$42))))</f>
        <v>13505 - 13691</v>
      </c>
      <c r="AF137" s="100">
        <f>SamplingData[[#This Row],[Upper Range]]-SamplingData[[#This Row],[Span]]</f>
        <v>13505.200646219562</v>
      </c>
      <c r="AG137" s="100">
        <f>IF(ISNUMBER('General Info'!$B$42), ((SamplingData[[#This Row],[up/U Selection Probability]]) * 'General Info'!$B$44) - 1, 0)</f>
        <v>186.26664052388847</v>
      </c>
      <c r="AH137" s="100">
        <f>IF(ISNUMBER('General Info'!$B$42), (SamplingData[[#This Row],[Running (cumulative) sum]] * ('General Info'!$B$42 -'General Info'!$B$43 + 1)) + 'General Info'!$B$43 - 1, 0)</f>
        <v>13691.467286743451</v>
      </c>
      <c r="AI137" s="100" t="str">
        <f>IF(ISERROR(MATCH(SamplingData[[#This Row],[Batch by Type (p)]],SelectedPrecincts[Batch Name], 0)), "", INDEX(SelectedPrecincts[Draw], MATCH(SamplingData[[#This Row],[Batch by Type (p)]],SelectedPrecincts[Batch Name], 0)))</f>
        <v/>
      </c>
      <c r="AJ137" s="101">
        <f>IF(COUNTIF(SelectedPrecincts[Batch Name],SamplingData[[#This Row],[Batch by Type (p)]]) &lt;&gt; 0, COUNTIF(SelectedPrecincts[Batch Name],SamplingData[[#This Row],[Batch by Type (p)]]), 0)</f>
        <v>0</v>
      </c>
    </row>
    <row r="138" spans="1:36" ht="15" customHeight="1" x14ac:dyDescent="0.35">
      <c r="A138" s="98" t="s">
        <v>349</v>
      </c>
      <c r="B138" s="98">
        <v>5</v>
      </c>
      <c r="C138" s="98">
        <v>0</v>
      </c>
      <c r="D138" s="93">
        <v>0</v>
      </c>
      <c r="E138" s="93"/>
      <c r="F138" s="93"/>
      <c r="G138" s="97"/>
      <c r="H138" s="97"/>
      <c r="I138" s="93"/>
      <c r="J138" s="93"/>
      <c r="K138" s="93"/>
      <c r="L138" s="93"/>
      <c r="M138" s="93"/>
      <c r="N138" s="98">
        <v>0</v>
      </c>
      <c r="O138" s="98">
        <v>0</v>
      </c>
      <c r="P138" s="99">
        <f>SUM(SamplingData[[#This Row],[Winning Candidate]:[Under Votes]])</f>
        <v>5</v>
      </c>
      <c r="Q138" s="100">
        <f>IF(AND(SamplingData[[#This Row],[Total]]&lt;&gt; 0, NOT(ISBLANK(SamplingData[[#This Row],[Losing Candidate]]))),(SamplingData[[#This Row],[Total]]+SamplingData[[#This Row],[Winning Candidate]]-SamplingData[[#This Row],[Losing Candidate]])/(SamplingData[[#Totals],[Winning Candidate]]-SamplingData[[#Totals],[Losing Candidate]]), 0)</f>
        <v>6.3207129764237407E-4</v>
      </c>
      <c r="R138" s="100">
        <f>IF(AND(SamplingData[[#This Row],[Total]]&lt;&gt; 0, NOT(ISBLANK(SamplingData[[#This Row],[Candidate 3]]))),(SamplingData[[#This Row],[Total]]+SamplingData[[#This Row],[Winning Candidate]]-SamplingData[[#This Row],[Candidate 3]])/(SamplingData[[#Totals],[Winning Candidate]]-SamplingData[[#Totals],[Candidate 3]]), 0)</f>
        <v>5.6446150372544595E-4</v>
      </c>
      <c r="S138" s="100">
        <f>IF(AND(SamplingData[[#This Row],[Total]]&lt;&gt; 0, NOT(ISBLANK(SamplingData[[#This Row],[Candidate 4]]))),(SamplingData[[#This Row],[Total]]+SamplingData[[#This Row],[Winning Candidate]]-SamplingData[[#This Row],[Candidate 4]])/(SamplingData[[#Totals],[Winning Candidate]]-SamplingData[[#Totals],[Candidate 4]]), 0)</f>
        <v>0</v>
      </c>
      <c r="T138" s="100">
        <f>IF(AND(SamplingData[[#This Row],[Total]]&lt;&gt; 0, NOT(ISBLANK(SamplingData[[#This Row],[Candidate 5]]))),(SamplingData[[#This Row],[Total]]+SamplingData[[#This Row],[Winning Candidate]]-SamplingData[[#This Row],[Candidate 5]])/(SamplingData[[#Totals],[Winning Candidate]]-SamplingData[[#Totals],[Candidate 5]]), 0)</f>
        <v>0</v>
      </c>
      <c r="U138" s="100">
        <f>IF(AND(SamplingData[[#This Row],[Total]]&lt;&gt; 0, NOT(ISBLANK(SamplingData[[#This Row],[Candidate 6]]))),(SamplingData[[#This Row],[Total]]+SamplingData[[#This Row],[Losing Candidate]]-SamplingData[[#This Row],[Candidate 6]])/(SamplingData[[#Totals],[Winning Candidate]]-SamplingData[[#Totals],[Candidate 6]]), 0)</f>
        <v>0</v>
      </c>
      <c r="V138" s="100">
        <f>IF(AND(SamplingData[[#This Row],[Total]]&lt;&gt; 0, NOT(ISBLANK(SamplingData[[#This Row],[Candidate 7]]))),(SamplingData[[#This Row],[Total]]+SamplingData[[#This Row],[Winning Candidate]]-SamplingData[[#This Row],[Candidate 7]])/(SamplingData[[#Totals],[Winning Candidate]]-SamplingData[[#Totals],[Candidate 7]]), 0)</f>
        <v>0</v>
      </c>
      <c r="W138" s="100">
        <f>IF(AND(SamplingData[[#This Row],[Total]]&lt;&gt; 0, NOT(ISBLANK(SamplingData[[#This Row],[Candidate 8]]))),(SamplingData[[#This Row],[Total]]+SamplingData[[#This Row],[Winning Candidate]]-SamplingData[[#This Row],[Candidate 8]])/(SamplingData[[#Totals],[Winning Candidate]]-SamplingData[[#Totals],[Candidate 8]]), 0)</f>
        <v>0</v>
      </c>
      <c r="X1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8" s="100">
        <f>MAX(SamplingData[[#This Row],[Error Bound (up) - Max. possible relative overstatement - Losing Candidate]:[Error Bound (up) - Max. possible relative overstatement - Candidate 12]])</f>
        <v>6.3207129764237407E-4</v>
      </c>
      <c r="AC138" s="100">
        <f>IF(SamplingData[[#This Row],[Max Error Bound (up)]] = 0,0,SamplingData[[#This Row],[Max Error Bound (up)]]/SamplingData[[#Totals],[Max Error Bound (up)]])</f>
        <v>2.5652964455327189E-4</v>
      </c>
      <c r="AD138" s="104">
        <f>SUM($AC$5:AC138)</f>
        <v>0.13718120251198779</v>
      </c>
      <c r="AE138" s="100" t="str" cm="1">
        <f t="array" ref="AE138">IF(SamplingData[[#This Row],[up/U Selection Probability]] = 0, "Zero", TEXT(SamplingData[[#This Row],[Lower Range]], REPT("0",LEN('General Info'!$B$42))) &amp; " - " &amp; TEXT(SamplingData[[#This Row],[Upper Range]], REPT("0",LEN('General Info'!$B$42))))</f>
        <v>13692 - 13717</v>
      </c>
      <c r="AF138" s="100">
        <f>SamplingData[[#This Row],[Upper Range]]-SamplingData[[#This Row],[Span]]</f>
        <v>13692.467286743453</v>
      </c>
      <c r="AG138" s="100">
        <f>IF(ISNUMBER('General Info'!$B$42), ((SamplingData[[#This Row],[up/U Selection Probability]]) * 'General Info'!$B$44) - 1, 0)</f>
        <v>24.65296445532719</v>
      </c>
      <c r="AH138" s="100">
        <f>IF(ISNUMBER('General Info'!$B$42), (SamplingData[[#This Row],[Running (cumulative) sum]] * ('General Info'!$B$42 -'General Info'!$B$43 + 1)) + 'General Info'!$B$43 - 1, 0)</f>
        <v>13717.120251198779</v>
      </c>
      <c r="AI138" s="100" t="str">
        <f>IF(ISERROR(MATCH(SamplingData[[#This Row],[Batch by Type (p)]],SelectedPrecincts[Batch Name], 0)), "", INDEX(SelectedPrecincts[Draw], MATCH(SamplingData[[#This Row],[Batch by Type (p)]],SelectedPrecincts[Batch Name], 0)))</f>
        <v/>
      </c>
      <c r="AJ138" s="101">
        <f>IF(COUNTIF(SelectedPrecincts[Batch Name],SamplingData[[#This Row],[Batch by Type (p)]]) &lt;&gt; 0, COUNTIF(SelectedPrecincts[Batch Name],SamplingData[[#This Row],[Batch by Type (p)]]), 0)</f>
        <v>0</v>
      </c>
    </row>
    <row r="139" spans="1:36" ht="15" customHeight="1" x14ac:dyDescent="0.35">
      <c r="A139" s="98" t="s">
        <v>350</v>
      </c>
      <c r="B139" s="98">
        <v>23</v>
      </c>
      <c r="C139" s="98">
        <v>5</v>
      </c>
      <c r="D139" s="93">
        <v>1</v>
      </c>
      <c r="E139" s="93"/>
      <c r="F139" s="93"/>
      <c r="G139" s="97"/>
      <c r="H139" s="97"/>
      <c r="I139" s="93"/>
      <c r="J139" s="93"/>
      <c r="K139" s="93"/>
      <c r="L139" s="93"/>
      <c r="M139" s="93"/>
      <c r="N139" s="98">
        <v>0</v>
      </c>
      <c r="O139" s="98">
        <v>0</v>
      </c>
      <c r="P139" s="99">
        <f>SUM(SamplingData[[#This Row],[Winning Candidate]:[Under Votes]])</f>
        <v>29</v>
      </c>
      <c r="Q139" s="100">
        <f>IF(AND(SamplingData[[#This Row],[Total]]&lt;&gt; 0, NOT(ISBLANK(SamplingData[[#This Row],[Losing Candidate]]))),(SamplingData[[#This Row],[Total]]+SamplingData[[#This Row],[Winning Candidate]]-SamplingData[[#This Row],[Losing Candidate]])/(SamplingData[[#Totals],[Winning Candidate]]-SamplingData[[#Totals],[Losing Candidate]]), 0)</f>
        <v>2.970735098919158E-3</v>
      </c>
      <c r="R139" s="100">
        <f>IF(AND(SamplingData[[#This Row],[Total]]&lt;&gt; 0, NOT(ISBLANK(SamplingData[[#This Row],[Candidate 3]]))),(SamplingData[[#This Row],[Total]]+SamplingData[[#This Row],[Winning Candidate]]-SamplingData[[#This Row],[Candidate 3]])/(SamplingData[[#Totals],[Winning Candidate]]-SamplingData[[#Totals],[Candidate 3]]), 0)</f>
        <v>2.8787536689997744E-3</v>
      </c>
      <c r="S139" s="100">
        <f>IF(AND(SamplingData[[#This Row],[Total]]&lt;&gt; 0, NOT(ISBLANK(SamplingData[[#This Row],[Candidate 4]]))),(SamplingData[[#This Row],[Total]]+SamplingData[[#This Row],[Winning Candidate]]-SamplingData[[#This Row],[Candidate 4]])/(SamplingData[[#Totals],[Winning Candidate]]-SamplingData[[#Totals],[Candidate 4]]), 0)</f>
        <v>0</v>
      </c>
      <c r="T139" s="100">
        <f>IF(AND(SamplingData[[#This Row],[Total]]&lt;&gt; 0, NOT(ISBLANK(SamplingData[[#This Row],[Candidate 5]]))),(SamplingData[[#This Row],[Total]]+SamplingData[[#This Row],[Winning Candidate]]-SamplingData[[#This Row],[Candidate 5]])/(SamplingData[[#Totals],[Winning Candidate]]-SamplingData[[#Totals],[Candidate 5]]), 0)</f>
        <v>0</v>
      </c>
      <c r="U139" s="100">
        <f>IF(AND(SamplingData[[#This Row],[Total]]&lt;&gt; 0, NOT(ISBLANK(SamplingData[[#This Row],[Candidate 6]]))),(SamplingData[[#This Row],[Total]]+SamplingData[[#This Row],[Losing Candidate]]-SamplingData[[#This Row],[Candidate 6]])/(SamplingData[[#Totals],[Winning Candidate]]-SamplingData[[#Totals],[Candidate 6]]), 0)</f>
        <v>0</v>
      </c>
      <c r="V139" s="100">
        <f>IF(AND(SamplingData[[#This Row],[Total]]&lt;&gt; 0, NOT(ISBLANK(SamplingData[[#This Row],[Candidate 7]]))),(SamplingData[[#This Row],[Total]]+SamplingData[[#This Row],[Winning Candidate]]-SamplingData[[#This Row],[Candidate 7]])/(SamplingData[[#Totals],[Winning Candidate]]-SamplingData[[#Totals],[Candidate 7]]), 0)</f>
        <v>0</v>
      </c>
      <c r="W139" s="100">
        <f>IF(AND(SamplingData[[#This Row],[Total]]&lt;&gt; 0, NOT(ISBLANK(SamplingData[[#This Row],[Candidate 8]]))),(SamplingData[[#This Row],[Total]]+SamplingData[[#This Row],[Winning Candidate]]-SamplingData[[#This Row],[Candidate 8]])/(SamplingData[[#Totals],[Winning Candidate]]-SamplingData[[#Totals],[Candidate 8]]), 0)</f>
        <v>0</v>
      </c>
      <c r="X1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9" s="100">
        <f>MAX(SamplingData[[#This Row],[Error Bound (up) - Max. possible relative overstatement - Losing Candidate]:[Error Bound (up) - Max. possible relative overstatement - Candidate 12]])</f>
        <v>2.970735098919158E-3</v>
      </c>
      <c r="AC139" s="100">
        <f>IF(SamplingData[[#This Row],[Max Error Bound (up)]] = 0,0,SamplingData[[#This Row],[Max Error Bound (up)]]/SamplingData[[#Totals],[Max Error Bound (up)]])</f>
        <v>1.2056893294003779E-3</v>
      </c>
      <c r="AD139" s="104">
        <f>SUM($AC$5:AC139)</f>
        <v>0.13838689184138817</v>
      </c>
      <c r="AE139" s="100" t="str" cm="1">
        <f t="array" ref="AE139">IF(SamplingData[[#This Row],[up/U Selection Probability]] = 0, "Zero", TEXT(SamplingData[[#This Row],[Lower Range]], REPT("0",LEN('General Info'!$B$42))) &amp; " - " &amp; TEXT(SamplingData[[#This Row],[Upper Range]], REPT("0",LEN('General Info'!$B$42))))</f>
        <v>13718 - 13838</v>
      </c>
      <c r="AF139" s="100">
        <f>SamplingData[[#This Row],[Upper Range]]-SamplingData[[#This Row],[Span]]</f>
        <v>13718.120251198779</v>
      </c>
      <c r="AG139" s="100">
        <f>IF(ISNUMBER('General Info'!$B$42), ((SamplingData[[#This Row],[up/U Selection Probability]]) * 'General Info'!$B$44) - 1, 0)</f>
        <v>119.56893294003778</v>
      </c>
      <c r="AH139" s="100">
        <f>IF(ISNUMBER('General Info'!$B$42), (SamplingData[[#This Row],[Running (cumulative) sum]] * ('General Info'!$B$42 -'General Info'!$B$43 + 1)) + 'General Info'!$B$43 - 1, 0)</f>
        <v>13837.689184138817</v>
      </c>
      <c r="AI139" s="100" t="str">
        <f>IF(ISERROR(MATCH(SamplingData[[#This Row],[Batch by Type (p)]],SelectedPrecincts[Batch Name], 0)), "", INDEX(SelectedPrecincts[Draw], MATCH(SamplingData[[#This Row],[Batch by Type (p)]],SelectedPrecincts[Batch Name], 0)))</f>
        <v/>
      </c>
      <c r="AJ139" s="101">
        <f>IF(COUNTIF(SelectedPrecincts[Batch Name],SamplingData[[#This Row],[Batch by Type (p)]]) &lt;&gt; 0, COUNTIF(SelectedPrecincts[Batch Name],SamplingData[[#This Row],[Batch by Type (p)]]), 0)</f>
        <v>0</v>
      </c>
    </row>
    <row r="140" spans="1:36" ht="15" customHeight="1" x14ac:dyDescent="0.35">
      <c r="A140" s="98" t="s">
        <v>351</v>
      </c>
      <c r="B140" s="98">
        <v>24</v>
      </c>
      <c r="C140" s="98">
        <v>0</v>
      </c>
      <c r="D140" s="93">
        <v>0</v>
      </c>
      <c r="E140" s="93"/>
      <c r="F140" s="93"/>
      <c r="G140" s="97"/>
      <c r="H140" s="97"/>
      <c r="I140" s="93"/>
      <c r="J140" s="93"/>
      <c r="K140" s="93"/>
      <c r="L140" s="93"/>
      <c r="M140" s="93"/>
      <c r="N140" s="98">
        <v>0</v>
      </c>
      <c r="O140" s="98">
        <v>0</v>
      </c>
      <c r="P140" s="99">
        <f>SUM(SamplingData[[#This Row],[Winning Candidate]:[Under Votes]])</f>
        <v>24</v>
      </c>
      <c r="Q140" s="100">
        <f>IF(AND(SamplingData[[#This Row],[Total]]&lt;&gt; 0, NOT(ISBLANK(SamplingData[[#This Row],[Losing Candidate]]))),(SamplingData[[#This Row],[Total]]+SamplingData[[#This Row],[Winning Candidate]]-SamplingData[[#This Row],[Losing Candidate]])/(SamplingData[[#Totals],[Winning Candidate]]-SamplingData[[#Totals],[Losing Candidate]]), 0)</f>
        <v>3.0339422286833955E-3</v>
      </c>
      <c r="R140" s="100">
        <f>IF(AND(SamplingData[[#This Row],[Total]]&lt;&gt; 0, NOT(ISBLANK(SamplingData[[#This Row],[Candidate 3]]))),(SamplingData[[#This Row],[Total]]+SamplingData[[#This Row],[Winning Candidate]]-SamplingData[[#This Row],[Candidate 3]])/(SamplingData[[#Totals],[Winning Candidate]]-SamplingData[[#Totals],[Candidate 3]]), 0)</f>
        <v>2.7094152178821405E-3</v>
      </c>
      <c r="S140" s="100">
        <f>IF(AND(SamplingData[[#This Row],[Total]]&lt;&gt; 0, NOT(ISBLANK(SamplingData[[#This Row],[Candidate 4]]))),(SamplingData[[#This Row],[Total]]+SamplingData[[#This Row],[Winning Candidate]]-SamplingData[[#This Row],[Candidate 4]])/(SamplingData[[#Totals],[Winning Candidate]]-SamplingData[[#Totals],[Candidate 4]]), 0)</f>
        <v>0</v>
      </c>
      <c r="T140" s="100">
        <f>IF(AND(SamplingData[[#This Row],[Total]]&lt;&gt; 0, NOT(ISBLANK(SamplingData[[#This Row],[Candidate 5]]))),(SamplingData[[#This Row],[Total]]+SamplingData[[#This Row],[Winning Candidate]]-SamplingData[[#This Row],[Candidate 5]])/(SamplingData[[#Totals],[Winning Candidate]]-SamplingData[[#Totals],[Candidate 5]]), 0)</f>
        <v>0</v>
      </c>
      <c r="U140" s="100">
        <f>IF(AND(SamplingData[[#This Row],[Total]]&lt;&gt; 0, NOT(ISBLANK(SamplingData[[#This Row],[Candidate 6]]))),(SamplingData[[#This Row],[Total]]+SamplingData[[#This Row],[Losing Candidate]]-SamplingData[[#This Row],[Candidate 6]])/(SamplingData[[#Totals],[Winning Candidate]]-SamplingData[[#Totals],[Candidate 6]]), 0)</f>
        <v>0</v>
      </c>
      <c r="V140" s="100">
        <f>IF(AND(SamplingData[[#This Row],[Total]]&lt;&gt; 0, NOT(ISBLANK(SamplingData[[#This Row],[Candidate 7]]))),(SamplingData[[#This Row],[Total]]+SamplingData[[#This Row],[Winning Candidate]]-SamplingData[[#This Row],[Candidate 7]])/(SamplingData[[#Totals],[Winning Candidate]]-SamplingData[[#Totals],[Candidate 7]]), 0)</f>
        <v>0</v>
      </c>
      <c r="W140" s="100">
        <f>IF(AND(SamplingData[[#This Row],[Total]]&lt;&gt; 0, NOT(ISBLANK(SamplingData[[#This Row],[Candidate 8]]))),(SamplingData[[#This Row],[Total]]+SamplingData[[#This Row],[Winning Candidate]]-SamplingData[[#This Row],[Candidate 8]])/(SamplingData[[#Totals],[Winning Candidate]]-SamplingData[[#Totals],[Candidate 8]]), 0)</f>
        <v>0</v>
      </c>
      <c r="X1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0" s="100">
        <f>MAX(SamplingData[[#This Row],[Error Bound (up) - Max. possible relative overstatement - Losing Candidate]:[Error Bound (up) - Max. possible relative overstatement - Candidate 12]])</f>
        <v>3.0339422286833955E-3</v>
      </c>
      <c r="AC140" s="100">
        <f>IF(SamplingData[[#This Row],[Max Error Bound (up)]] = 0,0,SamplingData[[#This Row],[Max Error Bound (up)]]/SamplingData[[#Totals],[Max Error Bound (up)]])</f>
        <v>1.231342293855705E-3</v>
      </c>
      <c r="AD140" s="104">
        <f>SUM($AC$5:AC140)</f>
        <v>0.13961823413524388</v>
      </c>
      <c r="AE140" s="100" t="str" cm="1">
        <f t="array" ref="AE140">IF(SamplingData[[#This Row],[up/U Selection Probability]] = 0, "Zero", TEXT(SamplingData[[#This Row],[Lower Range]], REPT("0",LEN('General Info'!$B$42))) &amp; " - " &amp; TEXT(SamplingData[[#This Row],[Upper Range]], REPT("0",LEN('General Info'!$B$42))))</f>
        <v>13839 - 13961</v>
      </c>
      <c r="AF140" s="100">
        <f>SamplingData[[#This Row],[Upper Range]]-SamplingData[[#This Row],[Span]]</f>
        <v>13838.689184138817</v>
      </c>
      <c r="AG140" s="100">
        <f>IF(ISNUMBER('General Info'!$B$42), ((SamplingData[[#This Row],[up/U Selection Probability]]) * 'General Info'!$B$44) - 1, 0)</f>
        <v>122.13422938557051</v>
      </c>
      <c r="AH140" s="100">
        <f>IF(ISNUMBER('General Info'!$B$42), (SamplingData[[#This Row],[Running (cumulative) sum]] * ('General Info'!$B$42 -'General Info'!$B$43 + 1)) + 'General Info'!$B$43 - 1, 0)</f>
        <v>13960.823413524387</v>
      </c>
      <c r="AI140" s="100" t="str">
        <f>IF(ISERROR(MATCH(SamplingData[[#This Row],[Batch by Type (p)]],SelectedPrecincts[Batch Name], 0)), "", INDEX(SelectedPrecincts[Draw], MATCH(SamplingData[[#This Row],[Batch by Type (p)]],SelectedPrecincts[Batch Name], 0)))</f>
        <v/>
      </c>
      <c r="AJ140" s="101">
        <f>IF(COUNTIF(SelectedPrecincts[Batch Name],SamplingData[[#This Row],[Batch by Type (p)]]) &lt;&gt; 0, COUNTIF(SelectedPrecincts[Batch Name],SamplingData[[#This Row],[Batch by Type (p)]]), 0)</f>
        <v>0</v>
      </c>
    </row>
    <row r="141" spans="1:36" ht="15" customHeight="1" x14ac:dyDescent="0.35">
      <c r="A141" s="98" t="s">
        <v>352</v>
      </c>
      <c r="B141" s="98">
        <v>13</v>
      </c>
      <c r="C141" s="98">
        <v>0</v>
      </c>
      <c r="D141" s="93">
        <v>0</v>
      </c>
      <c r="E141" s="93"/>
      <c r="F141" s="93"/>
      <c r="G141" s="97"/>
      <c r="H141" s="97"/>
      <c r="I141" s="93"/>
      <c r="J141" s="93"/>
      <c r="K141" s="93"/>
      <c r="L141" s="93"/>
      <c r="M141" s="93"/>
      <c r="N141" s="98">
        <v>0</v>
      </c>
      <c r="O141" s="98">
        <v>0</v>
      </c>
      <c r="P141" s="99">
        <f>SUM(SamplingData[[#This Row],[Winning Candidate]:[Under Votes]])</f>
        <v>13</v>
      </c>
      <c r="Q141" s="100">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141" s="100">
        <f>IF(AND(SamplingData[[#This Row],[Total]]&lt;&gt; 0, NOT(ISBLANK(SamplingData[[#This Row],[Candidate 3]]))),(SamplingData[[#This Row],[Total]]+SamplingData[[#This Row],[Winning Candidate]]-SamplingData[[#This Row],[Candidate 3]])/(SamplingData[[#Totals],[Winning Candidate]]-SamplingData[[#Totals],[Candidate 3]]), 0)</f>
        <v>1.4675999096861595E-3</v>
      </c>
      <c r="S141" s="100">
        <f>IF(AND(SamplingData[[#This Row],[Total]]&lt;&gt; 0, NOT(ISBLANK(SamplingData[[#This Row],[Candidate 4]]))),(SamplingData[[#This Row],[Total]]+SamplingData[[#This Row],[Winning Candidate]]-SamplingData[[#This Row],[Candidate 4]])/(SamplingData[[#Totals],[Winning Candidate]]-SamplingData[[#Totals],[Candidate 4]]), 0)</f>
        <v>0</v>
      </c>
      <c r="T141" s="100">
        <f>IF(AND(SamplingData[[#This Row],[Total]]&lt;&gt; 0, NOT(ISBLANK(SamplingData[[#This Row],[Candidate 5]]))),(SamplingData[[#This Row],[Total]]+SamplingData[[#This Row],[Winning Candidate]]-SamplingData[[#This Row],[Candidate 5]])/(SamplingData[[#Totals],[Winning Candidate]]-SamplingData[[#Totals],[Candidate 5]]), 0)</f>
        <v>0</v>
      </c>
      <c r="U141" s="100">
        <f>IF(AND(SamplingData[[#This Row],[Total]]&lt;&gt; 0, NOT(ISBLANK(SamplingData[[#This Row],[Candidate 6]]))),(SamplingData[[#This Row],[Total]]+SamplingData[[#This Row],[Losing Candidate]]-SamplingData[[#This Row],[Candidate 6]])/(SamplingData[[#Totals],[Winning Candidate]]-SamplingData[[#Totals],[Candidate 6]]), 0)</f>
        <v>0</v>
      </c>
      <c r="V141" s="100">
        <f>IF(AND(SamplingData[[#This Row],[Total]]&lt;&gt; 0, NOT(ISBLANK(SamplingData[[#This Row],[Candidate 7]]))),(SamplingData[[#This Row],[Total]]+SamplingData[[#This Row],[Winning Candidate]]-SamplingData[[#This Row],[Candidate 7]])/(SamplingData[[#Totals],[Winning Candidate]]-SamplingData[[#Totals],[Candidate 7]]), 0)</f>
        <v>0</v>
      </c>
      <c r="W141" s="100">
        <f>IF(AND(SamplingData[[#This Row],[Total]]&lt;&gt; 0, NOT(ISBLANK(SamplingData[[#This Row],[Candidate 8]]))),(SamplingData[[#This Row],[Total]]+SamplingData[[#This Row],[Winning Candidate]]-SamplingData[[#This Row],[Candidate 8]])/(SamplingData[[#Totals],[Winning Candidate]]-SamplingData[[#Totals],[Candidate 8]]), 0)</f>
        <v>0</v>
      </c>
      <c r="X1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1" s="100">
        <f>MAX(SamplingData[[#This Row],[Error Bound (up) - Max. possible relative overstatement - Losing Candidate]:[Error Bound (up) - Max. possible relative overstatement - Candidate 12]])</f>
        <v>1.6433853738701725E-3</v>
      </c>
      <c r="AC141" s="100">
        <f>IF(SamplingData[[#This Row],[Max Error Bound (up)]] = 0,0,SamplingData[[#This Row],[Max Error Bound (up)]]/SamplingData[[#Totals],[Max Error Bound (up)]])</f>
        <v>6.6697707583850683E-4</v>
      </c>
      <c r="AD141" s="104">
        <f>SUM($AC$5:AC141)</f>
        <v>0.14028521121108239</v>
      </c>
      <c r="AE141" s="100" t="str" cm="1">
        <f t="array" ref="AE141">IF(SamplingData[[#This Row],[up/U Selection Probability]] = 0, "Zero", TEXT(SamplingData[[#This Row],[Lower Range]], REPT("0",LEN('General Info'!$B$42))) &amp; " - " &amp; TEXT(SamplingData[[#This Row],[Upper Range]], REPT("0",LEN('General Info'!$B$42))))</f>
        <v>13962 - 14028</v>
      </c>
      <c r="AF141" s="100">
        <f>SamplingData[[#This Row],[Upper Range]]-SamplingData[[#This Row],[Span]]</f>
        <v>13961.823413524387</v>
      </c>
      <c r="AG141" s="100">
        <f>IF(ISNUMBER('General Info'!$B$42), ((SamplingData[[#This Row],[up/U Selection Probability]]) * 'General Info'!$B$44) - 1, 0)</f>
        <v>65.697707583850686</v>
      </c>
      <c r="AH141" s="100">
        <f>IF(ISNUMBER('General Info'!$B$42), (SamplingData[[#This Row],[Running (cumulative) sum]] * ('General Info'!$B$42 -'General Info'!$B$43 + 1)) + 'General Info'!$B$43 - 1, 0)</f>
        <v>14027.521121108239</v>
      </c>
      <c r="AI141" s="100" t="str">
        <f>IF(ISERROR(MATCH(SamplingData[[#This Row],[Batch by Type (p)]],SelectedPrecincts[Batch Name], 0)), "", INDEX(SelectedPrecincts[Draw], MATCH(SamplingData[[#This Row],[Batch by Type (p)]],SelectedPrecincts[Batch Name], 0)))</f>
        <v/>
      </c>
      <c r="AJ141" s="101">
        <f>IF(COUNTIF(SelectedPrecincts[Batch Name],SamplingData[[#This Row],[Batch by Type (p)]]) &lt;&gt; 0, COUNTIF(SelectedPrecincts[Batch Name],SamplingData[[#This Row],[Batch by Type (p)]]), 0)</f>
        <v>0</v>
      </c>
    </row>
    <row r="142" spans="1:36" ht="15" customHeight="1" x14ac:dyDescent="0.35">
      <c r="A142" s="98" t="s">
        <v>353</v>
      </c>
      <c r="B142" s="98">
        <v>18</v>
      </c>
      <c r="C142" s="98">
        <v>2</v>
      </c>
      <c r="D142" s="93">
        <v>0</v>
      </c>
      <c r="E142" s="93"/>
      <c r="F142" s="93"/>
      <c r="G142" s="97"/>
      <c r="H142" s="97"/>
      <c r="I142" s="93"/>
      <c r="J142" s="93"/>
      <c r="K142" s="93"/>
      <c r="L142" s="93"/>
      <c r="M142" s="93"/>
      <c r="N142" s="98">
        <v>0</v>
      </c>
      <c r="O142" s="98">
        <v>1</v>
      </c>
      <c r="P142" s="99">
        <f>SUM(SamplingData[[#This Row],[Winning Candidate]:[Under Votes]])</f>
        <v>21</v>
      </c>
      <c r="Q142" s="100">
        <f>IF(AND(SamplingData[[#This Row],[Total]]&lt;&gt; 0, NOT(ISBLANK(SamplingData[[#This Row],[Losing Candidate]]))),(SamplingData[[#This Row],[Total]]+SamplingData[[#This Row],[Winning Candidate]]-SamplingData[[#This Row],[Losing Candidate]])/(SamplingData[[#Totals],[Winning Candidate]]-SamplingData[[#Totals],[Losing Candidate]]), 0)</f>
        <v>2.338663801276784E-3</v>
      </c>
      <c r="R142" s="100">
        <f>IF(AND(SamplingData[[#This Row],[Total]]&lt;&gt; 0, NOT(ISBLANK(SamplingData[[#This Row],[Candidate 3]]))),(SamplingData[[#This Row],[Total]]+SamplingData[[#This Row],[Winning Candidate]]-SamplingData[[#This Row],[Candidate 3]])/(SamplingData[[#Totals],[Winning Candidate]]-SamplingData[[#Totals],[Candidate 3]]), 0)</f>
        <v>2.2013998645292391E-3</v>
      </c>
      <c r="S142" s="100">
        <f>IF(AND(SamplingData[[#This Row],[Total]]&lt;&gt; 0, NOT(ISBLANK(SamplingData[[#This Row],[Candidate 4]]))),(SamplingData[[#This Row],[Total]]+SamplingData[[#This Row],[Winning Candidate]]-SamplingData[[#This Row],[Candidate 4]])/(SamplingData[[#Totals],[Winning Candidate]]-SamplingData[[#Totals],[Candidate 4]]), 0)</f>
        <v>0</v>
      </c>
      <c r="T142" s="100">
        <f>IF(AND(SamplingData[[#This Row],[Total]]&lt;&gt; 0, NOT(ISBLANK(SamplingData[[#This Row],[Candidate 5]]))),(SamplingData[[#This Row],[Total]]+SamplingData[[#This Row],[Winning Candidate]]-SamplingData[[#This Row],[Candidate 5]])/(SamplingData[[#Totals],[Winning Candidate]]-SamplingData[[#Totals],[Candidate 5]]), 0)</f>
        <v>0</v>
      </c>
      <c r="U142" s="100">
        <f>IF(AND(SamplingData[[#This Row],[Total]]&lt;&gt; 0, NOT(ISBLANK(SamplingData[[#This Row],[Candidate 6]]))),(SamplingData[[#This Row],[Total]]+SamplingData[[#This Row],[Losing Candidate]]-SamplingData[[#This Row],[Candidate 6]])/(SamplingData[[#Totals],[Winning Candidate]]-SamplingData[[#Totals],[Candidate 6]]), 0)</f>
        <v>0</v>
      </c>
      <c r="V142" s="100">
        <f>IF(AND(SamplingData[[#This Row],[Total]]&lt;&gt; 0, NOT(ISBLANK(SamplingData[[#This Row],[Candidate 7]]))),(SamplingData[[#This Row],[Total]]+SamplingData[[#This Row],[Winning Candidate]]-SamplingData[[#This Row],[Candidate 7]])/(SamplingData[[#Totals],[Winning Candidate]]-SamplingData[[#Totals],[Candidate 7]]), 0)</f>
        <v>0</v>
      </c>
      <c r="W142" s="100">
        <f>IF(AND(SamplingData[[#This Row],[Total]]&lt;&gt; 0, NOT(ISBLANK(SamplingData[[#This Row],[Candidate 8]]))),(SamplingData[[#This Row],[Total]]+SamplingData[[#This Row],[Winning Candidate]]-SamplingData[[#This Row],[Candidate 8]])/(SamplingData[[#Totals],[Winning Candidate]]-SamplingData[[#Totals],[Candidate 8]]), 0)</f>
        <v>0</v>
      </c>
      <c r="X1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2" s="100">
        <f>MAX(SamplingData[[#This Row],[Error Bound (up) - Max. possible relative overstatement - Losing Candidate]:[Error Bound (up) - Max. possible relative overstatement - Candidate 12]])</f>
        <v>2.338663801276784E-3</v>
      </c>
      <c r="AC142" s="100">
        <f>IF(SamplingData[[#This Row],[Max Error Bound (up)]] = 0,0,SamplingData[[#This Row],[Max Error Bound (up)]]/SamplingData[[#Totals],[Max Error Bound (up)]])</f>
        <v>9.4915968484710598E-4</v>
      </c>
      <c r="AD142" s="104">
        <f>SUM($AC$5:AC142)</f>
        <v>0.1412343708959295</v>
      </c>
      <c r="AE142" s="100" t="str" cm="1">
        <f t="array" ref="AE142">IF(SamplingData[[#This Row],[up/U Selection Probability]] = 0, "Zero", TEXT(SamplingData[[#This Row],[Lower Range]], REPT("0",LEN('General Info'!$B$42))) &amp; " - " &amp; TEXT(SamplingData[[#This Row],[Upper Range]], REPT("0",LEN('General Info'!$B$42))))</f>
        <v>14029 - 14122</v>
      </c>
      <c r="AF142" s="100">
        <f>SamplingData[[#This Row],[Upper Range]]-SamplingData[[#This Row],[Span]]</f>
        <v>14028.521121108239</v>
      </c>
      <c r="AG142" s="100">
        <f>IF(ISNUMBER('General Info'!$B$42), ((SamplingData[[#This Row],[up/U Selection Probability]]) * 'General Info'!$B$44) - 1, 0)</f>
        <v>93.915968484710604</v>
      </c>
      <c r="AH142" s="100">
        <f>IF(ISNUMBER('General Info'!$B$42), (SamplingData[[#This Row],[Running (cumulative) sum]] * ('General Info'!$B$42 -'General Info'!$B$43 + 1)) + 'General Info'!$B$43 - 1, 0)</f>
        <v>14122.43708959295</v>
      </c>
      <c r="AI142" s="100" t="str">
        <f>IF(ISERROR(MATCH(SamplingData[[#This Row],[Batch by Type (p)]],SelectedPrecincts[Batch Name], 0)), "", INDEX(SelectedPrecincts[Draw], MATCH(SamplingData[[#This Row],[Batch by Type (p)]],SelectedPrecincts[Batch Name], 0)))</f>
        <v/>
      </c>
      <c r="AJ142" s="101">
        <f>IF(COUNTIF(SelectedPrecincts[Batch Name],SamplingData[[#This Row],[Batch by Type (p)]]) &lt;&gt; 0, COUNTIF(SelectedPrecincts[Batch Name],SamplingData[[#This Row],[Batch by Type (p)]]), 0)</f>
        <v>0</v>
      </c>
    </row>
    <row r="143" spans="1:36" ht="15" customHeight="1" x14ac:dyDescent="0.35">
      <c r="A143" s="98" t="s">
        <v>354</v>
      </c>
      <c r="B143" s="98">
        <v>13</v>
      </c>
      <c r="C143" s="98">
        <v>0</v>
      </c>
      <c r="D143" s="93">
        <v>0</v>
      </c>
      <c r="E143" s="93"/>
      <c r="F143" s="93"/>
      <c r="G143" s="97"/>
      <c r="H143" s="97"/>
      <c r="I143" s="93"/>
      <c r="J143" s="93"/>
      <c r="K143" s="93"/>
      <c r="L143" s="93"/>
      <c r="M143" s="93"/>
      <c r="N143" s="98">
        <v>0</v>
      </c>
      <c r="O143" s="98">
        <v>0</v>
      </c>
      <c r="P143" s="99">
        <f>SUM(SamplingData[[#This Row],[Winning Candidate]:[Under Votes]])</f>
        <v>13</v>
      </c>
      <c r="Q143" s="100">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143" s="100">
        <f>IF(AND(SamplingData[[#This Row],[Total]]&lt;&gt; 0, NOT(ISBLANK(SamplingData[[#This Row],[Candidate 3]]))),(SamplingData[[#This Row],[Total]]+SamplingData[[#This Row],[Winning Candidate]]-SamplingData[[#This Row],[Candidate 3]])/(SamplingData[[#Totals],[Winning Candidate]]-SamplingData[[#Totals],[Candidate 3]]), 0)</f>
        <v>1.4675999096861595E-3</v>
      </c>
      <c r="S143" s="100">
        <f>IF(AND(SamplingData[[#This Row],[Total]]&lt;&gt; 0, NOT(ISBLANK(SamplingData[[#This Row],[Candidate 4]]))),(SamplingData[[#This Row],[Total]]+SamplingData[[#This Row],[Winning Candidate]]-SamplingData[[#This Row],[Candidate 4]])/(SamplingData[[#Totals],[Winning Candidate]]-SamplingData[[#Totals],[Candidate 4]]), 0)</f>
        <v>0</v>
      </c>
      <c r="T143" s="100">
        <f>IF(AND(SamplingData[[#This Row],[Total]]&lt;&gt; 0, NOT(ISBLANK(SamplingData[[#This Row],[Candidate 5]]))),(SamplingData[[#This Row],[Total]]+SamplingData[[#This Row],[Winning Candidate]]-SamplingData[[#This Row],[Candidate 5]])/(SamplingData[[#Totals],[Winning Candidate]]-SamplingData[[#Totals],[Candidate 5]]), 0)</f>
        <v>0</v>
      </c>
      <c r="U143" s="100">
        <f>IF(AND(SamplingData[[#This Row],[Total]]&lt;&gt; 0, NOT(ISBLANK(SamplingData[[#This Row],[Candidate 6]]))),(SamplingData[[#This Row],[Total]]+SamplingData[[#This Row],[Losing Candidate]]-SamplingData[[#This Row],[Candidate 6]])/(SamplingData[[#Totals],[Winning Candidate]]-SamplingData[[#Totals],[Candidate 6]]), 0)</f>
        <v>0</v>
      </c>
      <c r="V143" s="100">
        <f>IF(AND(SamplingData[[#This Row],[Total]]&lt;&gt; 0, NOT(ISBLANK(SamplingData[[#This Row],[Candidate 7]]))),(SamplingData[[#This Row],[Total]]+SamplingData[[#This Row],[Winning Candidate]]-SamplingData[[#This Row],[Candidate 7]])/(SamplingData[[#Totals],[Winning Candidate]]-SamplingData[[#Totals],[Candidate 7]]), 0)</f>
        <v>0</v>
      </c>
      <c r="W143" s="100">
        <f>IF(AND(SamplingData[[#This Row],[Total]]&lt;&gt; 0, NOT(ISBLANK(SamplingData[[#This Row],[Candidate 8]]))),(SamplingData[[#This Row],[Total]]+SamplingData[[#This Row],[Winning Candidate]]-SamplingData[[#This Row],[Candidate 8]])/(SamplingData[[#Totals],[Winning Candidate]]-SamplingData[[#Totals],[Candidate 8]]), 0)</f>
        <v>0</v>
      </c>
      <c r="X1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3" s="100">
        <f>MAX(SamplingData[[#This Row],[Error Bound (up) - Max. possible relative overstatement - Losing Candidate]:[Error Bound (up) - Max. possible relative overstatement - Candidate 12]])</f>
        <v>1.6433853738701725E-3</v>
      </c>
      <c r="AC143" s="100">
        <f>IF(SamplingData[[#This Row],[Max Error Bound (up)]] = 0,0,SamplingData[[#This Row],[Max Error Bound (up)]]/SamplingData[[#Totals],[Max Error Bound (up)]])</f>
        <v>6.6697707583850683E-4</v>
      </c>
      <c r="AD143" s="104">
        <f>SUM($AC$5:AC143)</f>
        <v>0.14190134797176801</v>
      </c>
      <c r="AE143" s="100" t="str" cm="1">
        <f t="array" ref="AE143">IF(SamplingData[[#This Row],[up/U Selection Probability]] = 0, "Zero", TEXT(SamplingData[[#This Row],[Lower Range]], REPT("0",LEN('General Info'!$B$42))) &amp; " - " &amp; TEXT(SamplingData[[#This Row],[Upper Range]], REPT("0",LEN('General Info'!$B$42))))</f>
        <v>14123 - 14189</v>
      </c>
      <c r="AF143" s="100">
        <f>SamplingData[[#This Row],[Upper Range]]-SamplingData[[#This Row],[Span]]</f>
        <v>14123.43708959295</v>
      </c>
      <c r="AG143" s="100">
        <f>IF(ISNUMBER('General Info'!$B$42), ((SamplingData[[#This Row],[up/U Selection Probability]]) * 'General Info'!$B$44) - 1, 0)</f>
        <v>65.697707583850686</v>
      </c>
      <c r="AH143" s="100">
        <f>IF(ISNUMBER('General Info'!$B$42), (SamplingData[[#This Row],[Running (cumulative) sum]] * ('General Info'!$B$42 -'General Info'!$B$43 + 1)) + 'General Info'!$B$43 - 1, 0)</f>
        <v>14189.134797176801</v>
      </c>
      <c r="AI143" s="100" t="str">
        <f>IF(ISERROR(MATCH(SamplingData[[#This Row],[Batch by Type (p)]],SelectedPrecincts[Batch Name], 0)), "", INDEX(SelectedPrecincts[Draw], MATCH(SamplingData[[#This Row],[Batch by Type (p)]],SelectedPrecincts[Batch Name], 0)))</f>
        <v/>
      </c>
      <c r="AJ143" s="101">
        <f>IF(COUNTIF(SelectedPrecincts[Batch Name],SamplingData[[#This Row],[Batch by Type (p)]]) &lt;&gt; 0, COUNTIF(SelectedPrecincts[Batch Name],SamplingData[[#This Row],[Batch by Type (p)]]), 0)</f>
        <v>0</v>
      </c>
    </row>
    <row r="144" spans="1:36" ht="15" customHeight="1" x14ac:dyDescent="0.35">
      <c r="A144" s="98" t="s">
        <v>355</v>
      </c>
      <c r="B144" s="98">
        <v>36</v>
      </c>
      <c r="C144" s="98">
        <v>1</v>
      </c>
      <c r="D144" s="93">
        <v>1</v>
      </c>
      <c r="E144" s="93"/>
      <c r="F144" s="93"/>
      <c r="G144" s="97"/>
      <c r="H144" s="97"/>
      <c r="I144" s="93"/>
      <c r="J144" s="93"/>
      <c r="K144" s="93"/>
      <c r="L144" s="93"/>
      <c r="M144" s="93"/>
      <c r="N144" s="98">
        <v>0</v>
      </c>
      <c r="O144" s="98">
        <v>0</v>
      </c>
      <c r="P144" s="99">
        <f>SUM(SamplingData[[#This Row],[Winning Candidate]:[Under Votes]])</f>
        <v>38</v>
      </c>
      <c r="Q144" s="100">
        <f>IF(AND(SamplingData[[#This Row],[Total]]&lt;&gt; 0, NOT(ISBLANK(SamplingData[[#This Row],[Losing Candidate]]))),(SamplingData[[#This Row],[Total]]+SamplingData[[#This Row],[Winning Candidate]]-SamplingData[[#This Row],[Losing Candidate]])/(SamplingData[[#Totals],[Winning Candidate]]-SamplingData[[#Totals],[Losing Candidate]]), 0)</f>
        <v>4.6141204727893305E-3</v>
      </c>
      <c r="R144" s="100">
        <f>IF(AND(SamplingData[[#This Row],[Total]]&lt;&gt; 0, NOT(ISBLANK(SamplingData[[#This Row],[Candidate 3]]))),(SamplingData[[#This Row],[Total]]+SamplingData[[#This Row],[Winning Candidate]]-SamplingData[[#This Row],[Candidate 3]])/(SamplingData[[#Totals],[Winning Candidate]]-SamplingData[[#Totals],[Candidate 3]]), 0)</f>
        <v>4.1205689771957555E-3</v>
      </c>
      <c r="S144" s="100">
        <f>IF(AND(SamplingData[[#This Row],[Total]]&lt;&gt; 0, NOT(ISBLANK(SamplingData[[#This Row],[Candidate 4]]))),(SamplingData[[#This Row],[Total]]+SamplingData[[#This Row],[Winning Candidate]]-SamplingData[[#This Row],[Candidate 4]])/(SamplingData[[#Totals],[Winning Candidate]]-SamplingData[[#Totals],[Candidate 4]]), 0)</f>
        <v>0</v>
      </c>
      <c r="T144" s="100">
        <f>IF(AND(SamplingData[[#This Row],[Total]]&lt;&gt; 0, NOT(ISBLANK(SamplingData[[#This Row],[Candidate 5]]))),(SamplingData[[#This Row],[Total]]+SamplingData[[#This Row],[Winning Candidate]]-SamplingData[[#This Row],[Candidate 5]])/(SamplingData[[#Totals],[Winning Candidate]]-SamplingData[[#Totals],[Candidate 5]]), 0)</f>
        <v>0</v>
      </c>
      <c r="U144" s="100">
        <f>IF(AND(SamplingData[[#This Row],[Total]]&lt;&gt; 0, NOT(ISBLANK(SamplingData[[#This Row],[Candidate 6]]))),(SamplingData[[#This Row],[Total]]+SamplingData[[#This Row],[Losing Candidate]]-SamplingData[[#This Row],[Candidate 6]])/(SamplingData[[#Totals],[Winning Candidate]]-SamplingData[[#Totals],[Candidate 6]]), 0)</f>
        <v>0</v>
      </c>
      <c r="V144" s="100">
        <f>IF(AND(SamplingData[[#This Row],[Total]]&lt;&gt; 0, NOT(ISBLANK(SamplingData[[#This Row],[Candidate 7]]))),(SamplingData[[#This Row],[Total]]+SamplingData[[#This Row],[Winning Candidate]]-SamplingData[[#This Row],[Candidate 7]])/(SamplingData[[#Totals],[Winning Candidate]]-SamplingData[[#Totals],[Candidate 7]]), 0)</f>
        <v>0</v>
      </c>
      <c r="W144" s="100">
        <f>IF(AND(SamplingData[[#This Row],[Total]]&lt;&gt; 0, NOT(ISBLANK(SamplingData[[#This Row],[Candidate 8]]))),(SamplingData[[#This Row],[Total]]+SamplingData[[#This Row],[Winning Candidate]]-SamplingData[[#This Row],[Candidate 8]])/(SamplingData[[#Totals],[Winning Candidate]]-SamplingData[[#Totals],[Candidate 8]]), 0)</f>
        <v>0</v>
      </c>
      <c r="X1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4" s="100">
        <f>MAX(SamplingData[[#This Row],[Error Bound (up) - Max. possible relative overstatement - Losing Candidate]:[Error Bound (up) - Max. possible relative overstatement - Candidate 12]])</f>
        <v>4.6141204727893305E-3</v>
      </c>
      <c r="AC144" s="100">
        <f>IF(SamplingData[[#This Row],[Max Error Bound (up)]] = 0,0,SamplingData[[#This Row],[Max Error Bound (up)]]/SamplingData[[#Totals],[Max Error Bound (up)]])</f>
        <v>1.8726664052388848E-3</v>
      </c>
      <c r="AD144" s="104">
        <f>SUM($AC$5:AC144)</f>
        <v>0.1437740143770069</v>
      </c>
      <c r="AE144" s="100" t="str" cm="1">
        <f t="array" ref="AE144">IF(SamplingData[[#This Row],[up/U Selection Probability]] = 0, "Zero", TEXT(SamplingData[[#This Row],[Lower Range]], REPT("0",LEN('General Info'!$B$42))) &amp; " - " &amp; TEXT(SamplingData[[#This Row],[Upper Range]], REPT("0",LEN('General Info'!$B$42))))</f>
        <v>14190 - 14376</v>
      </c>
      <c r="AF144" s="100">
        <f>SamplingData[[#This Row],[Upper Range]]-SamplingData[[#This Row],[Span]]</f>
        <v>14190.134797176801</v>
      </c>
      <c r="AG144" s="100">
        <f>IF(ISNUMBER('General Info'!$B$42), ((SamplingData[[#This Row],[up/U Selection Probability]]) * 'General Info'!$B$44) - 1, 0)</f>
        <v>186.26664052388847</v>
      </c>
      <c r="AH144" s="100">
        <f>IF(ISNUMBER('General Info'!$B$42), (SamplingData[[#This Row],[Running (cumulative) sum]] * ('General Info'!$B$42 -'General Info'!$B$43 + 1)) + 'General Info'!$B$43 - 1, 0)</f>
        <v>14376.40143770069</v>
      </c>
      <c r="AI144" s="100" t="str">
        <f>IF(ISERROR(MATCH(SamplingData[[#This Row],[Batch by Type (p)]],SelectedPrecincts[Batch Name], 0)), "", INDEX(SelectedPrecincts[Draw], MATCH(SamplingData[[#This Row],[Batch by Type (p)]],SelectedPrecincts[Batch Name], 0)))</f>
        <v/>
      </c>
      <c r="AJ144" s="101">
        <f>IF(COUNTIF(SelectedPrecincts[Batch Name],SamplingData[[#This Row],[Batch by Type (p)]]) &lt;&gt; 0, COUNTIF(SelectedPrecincts[Batch Name],SamplingData[[#This Row],[Batch by Type (p)]]), 0)</f>
        <v>0</v>
      </c>
    </row>
    <row r="145" spans="1:36" ht="15" customHeight="1" x14ac:dyDescent="0.35">
      <c r="A145" s="98" t="s">
        <v>356</v>
      </c>
      <c r="B145" s="98">
        <v>17</v>
      </c>
      <c r="C145" s="98">
        <v>3</v>
      </c>
      <c r="D145" s="93">
        <v>0</v>
      </c>
      <c r="E145" s="93"/>
      <c r="F145" s="93"/>
      <c r="G145" s="97"/>
      <c r="H145" s="97"/>
      <c r="I145" s="93"/>
      <c r="J145" s="93"/>
      <c r="K145" s="93"/>
      <c r="L145" s="93"/>
      <c r="M145" s="93"/>
      <c r="N145" s="98">
        <v>0</v>
      </c>
      <c r="O145" s="98">
        <v>0</v>
      </c>
      <c r="P145" s="99">
        <f>SUM(SamplingData[[#This Row],[Winning Candidate]:[Under Votes]])</f>
        <v>20</v>
      </c>
      <c r="Q145" s="100">
        <f>IF(AND(SamplingData[[#This Row],[Total]]&lt;&gt; 0, NOT(ISBLANK(SamplingData[[#This Row],[Losing Candidate]]))),(SamplingData[[#This Row],[Total]]+SamplingData[[#This Row],[Winning Candidate]]-SamplingData[[#This Row],[Losing Candidate]])/(SamplingData[[#Totals],[Winning Candidate]]-SamplingData[[#Totals],[Losing Candidate]]), 0)</f>
        <v>2.1490424119840717E-3</v>
      </c>
      <c r="R145" s="100">
        <f>IF(AND(SamplingData[[#This Row],[Total]]&lt;&gt; 0, NOT(ISBLANK(SamplingData[[#This Row],[Candidate 3]]))),(SamplingData[[#This Row],[Total]]+SamplingData[[#This Row],[Winning Candidate]]-SamplingData[[#This Row],[Candidate 3]])/(SamplingData[[#Totals],[Winning Candidate]]-SamplingData[[#Totals],[Candidate 3]]), 0)</f>
        <v>2.0885075637841499E-3</v>
      </c>
      <c r="S145" s="100">
        <f>IF(AND(SamplingData[[#This Row],[Total]]&lt;&gt; 0, NOT(ISBLANK(SamplingData[[#This Row],[Candidate 4]]))),(SamplingData[[#This Row],[Total]]+SamplingData[[#This Row],[Winning Candidate]]-SamplingData[[#This Row],[Candidate 4]])/(SamplingData[[#Totals],[Winning Candidate]]-SamplingData[[#Totals],[Candidate 4]]), 0)</f>
        <v>0</v>
      </c>
      <c r="T145" s="100">
        <f>IF(AND(SamplingData[[#This Row],[Total]]&lt;&gt; 0, NOT(ISBLANK(SamplingData[[#This Row],[Candidate 5]]))),(SamplingData[[#This Row],[Total]]+SamplingData[[#This Row],[Winning Candidate]]-SamplingData[[#This Row],[Candidate 5]])/(SamplingData[[#Totals],[Winning Candidate]]-SamplingData[[#Totals],[Candidate 5]]), 0)</f>
        <v>0</v>
      </c>
      <c r="U145" s="100">
        <f>IF(AND(SamplingData[[#This Row],[Total]]&lt;&gt; 0, NOT(ISBLANK(SamplingData[[#This Row],[Candidate 6]]))),(SamplingData[[#This Row],[Total]]+SamplingData[[#This Row],[Losing Candidate]]-SamplingData[[#This Row],[Candidate 6]])/(SamplingData[[#Totals],[Winning Candidate]]-SamplingData[[#Totals],[Candidate 6]]), 0)</f>
        <v>0</v>
      </c>
      <c r="V145" s="100">
        <f>IF(AND(SamplingData[[#This Row],[Total]]&lt;&gt; 0, NOT(ISBLANK(SamplingData[[#This Row],[Candidate 7]]))),(SamplingData[[#This Row],[Total]]+SamplingData[[#This Row],[Winning Candidate]]-SamplingData[[#This Row],[Candidate 7]])/(SamplingData[[#Totals],[Winning Candidate]]-SamplingData[[#Totals],[Candidate 7]]), 0)</f>
        <v>0</v>
      </c>
      <c r="W145" s="100">
        <f>IF(AND(SamplingData[[#This Row],[Total]]&lt;&gt; 0, NOT(ISBLANK(SamplingData[[#This Row],[Candidate 8]]))),(SamplingData[[#This Row],[Total]]+SamplingData[[#This Row],[Winning Candidate]]-SamplingData[[#This Row],[Candidate 8]])/(SamplingData[[#Totals],[Winning Candidate]]-SamplingData[[#Totals],[Candidate 8]]), 0)</f>
        <v>0</v>
      </c>
      <c r="X1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5" s="100">
        <f>MAX(SamplingData[[#This Row],[Error Bound (up) - Max. possible relative overstatement - Losing Candidate]:[Error Bound (up) - Max. possible relative overstatement - Candidate 12]])</f>
        <v>2.1490424119840717E-3</v>
      </c>
      <c r="AC145" s="100">
        <f>IF(SamplingData[[#This Row],[Max Error Bound (up)]] = 0,0,SamplingData[[#This Row],[Max Error Bound (up)]]/SamplingData[[#Totals],[Max Error Bound (up)]])</f>
        <v>8.7220079148112441E-4</v>
      </c>
      <c r="AD145" s="104">
        <f>SUM($AC$5:AC145)</f>
        <v>0.14464621516848802</v>
      </c>
      <c r="AE145" s="100" t="str" cm="1">
        <f t="array" ref="AE145">IF(SamplingData[[#This Row],[up/U Selection Probability]] = 0, "Zero", TEXT(SamplingData[[#This Row],[Lower Range]], REPT("0",LEN('General Info'!$B$42))) &amp; " - " &amp; TEXT(SamplingData[[#This Row],[Upper Range]], REPT("0",LEN('General Info'!$B$42))))</f>
        <v>14377 - 14464</v>
      </c>
      <c r="AF145" s="100">
        <f>SamplingData[[#This Row],[Upper Range]]-SamplingData[[#This Row],[Span]]</f>
        <v>14377.40143770069</v>
      </c>
      <c r="AG145" s="100">
        <f>IF(ISNUMBER('General Info'!$B$42), ((SamplingData[[#This Row],[up/U Selection Probability]]) * 'General Info'!$B$44) - 1, 0)</f>
        <v>86.220079148112447</v>
      </c>
      <c r="AH145" s="100">
        <f>IF(ISNUMBER('General Info'!$B$42), (SamplingData[[#This Row],[Running (cumulative) sum]] * ('General Info'!$B$42 -'General Info'!$B$43 + 1)) + 'General Info'!$B$43 - 1, 0)</f>
        <v>14463.621516848802</v>
      </c>
      <c r="AI145" s="100" t="str">
        <f>IF(ISERROR(MATCH(SamplingData[[#This Row],[Batch by Type (p)]],SelectedPrecincts[Batch Name], 0)), "", INDEX(SelectedPrecincts[Draw], MATCH(SamplingData[[#This Row],[Batch by Type (p)]],SelectedPrecincts[Batch Name], 0)))</f>
        <v/>
      </c>
      <c r="AJ145" s="101">
        <f>IF(COUNTIF(SelectedPrecincts[Batch Name],SamplingData[[#This Row],[Batch by Type (p)]]) &lt;&gt; 0, COUNTIF(SelectedPrecincts[Batch Name],SamplingData[[#This Row],[Batch by Type (p)]]), 0)</f>
        <v>0</v>
      </c>
    </row>
    <row r="146" spans="1:36" ht="15" customHeight="1" x14ac:dyDescent="0.35">
      <c r="A146" s="98" t="s">
        <v>357</v>
      </c>
      <c r="B146" s="98">
        <v>12</v>
      </c>
      <c r="C146" s="98">
        <v>4</v>
      </c>
      <c r="D146" s="93">
        <v>2</v>
      </c>
      <c r="E146" s="93"/>
      <c r="F146" s="93"/>
      <c r="G146" s="97"/>
      <c r="H146" s="97"/>
      <c r="I146" s="93"/>
      <c r="J146" s="93"/>
      <c r="K146" s="93"/>
      <c r="L146" s="93"/>
      <c r="M146" s="93"/>
      <c r="N146" s="98">
        <v>0</v>
      </c>
      <c r="O146" s="98">
        <v>0</v>
      </c>
      <c r="P146" s="99">
        <f>SUM(SamplingData[[#This Row],[Winning Candidate]:[Under Votes]])</f>
        <v>18</v>
      </c>
      <c r="Q146" s="100">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146" s="100">
        <f>IF(AND(SamplingData[[#This Row],[Total]]&lt;&gt; 0, NOT(ISBLANK(SamplingData[[#This Row],[Candidate 3]]))),(SamplingData[[#This Row],[Total]]+SamplingData[[#This Row],[Winning Candidate]]-SamplingData[[#This Row],[Candidate 3]])/(SamplingData[[#Totals],[Winning Candidate]]-SamplingData[[#Totals],[Candidate 3]]), 0)</f>
        <v>1.5804922104312486E-3</v>
      </c>
      <c r="S146" s="100">
        <f>IF(AND(SamplingData[[#This Row],[Total]]&lt;&gt; 0, NOT(ISBLANK(SamplingData[[#This Row],[Candidate 4]]))),(SamplingData[[#This Row],[Total]]+SamplingData[[#This Row],[Winning Candidate]]-SamplingData[[#This Row],[Candidate 4]])/(SamplingData[[#Totals],[Winning Candidate]]-SamplingData[[#Totals],[Candidate 4]]), 0)</f>
        <v>0</v>
      </c>
      <c r="T146" s="100">
        <f>IF(AND(SamplingData[[#This Row],[Total]]&lt;&gt; 0, NOT(ISBLANK(SamplingData[[#This Row],[Candidate 5]]))),(SamplingData[[#This Row],[Total]]+SamplingData[[#This Row],[Winning Candidate]]-SamplingData[[#This Row],[Candidate 5]])/(SamplingData[[#Totals],[Winning Candidate]]-SamplingData[[#Totals],[Candidate 5]]), 0)</f>
        <v>0</v>
      </c>
      <c r="U146" s="100">
        <f>IF(AND(SamplingData[[#This Row],[Total]]&lt;&gt; 0, NOT(ISBLANK(SamplingData[[#This Row],[Candidate 6]]))),(SamplingData[[#This Row],[Total]]+SamplingData[[#This Row],[Losing Candidate]]-SamplingData[[#This Row],[Candidate 6]])/(SamplingData[[#Totals],[Winning Candidate]]-SamplingData[[#Totals],[Candidate 6]]), 0)</f>
        <v>0</v>
      </c>
      <c r="V146" s="100">
        <f>IF(AND(SamplingData[[#This Row],[Total]]&lt;&gt; 0, NOT(ISBLANK(SamplingData[[#This Row],[Candidate 7]]))),(SamplingData[[#This Row],[Total]]+SamplingData[[#This Row],[Winning Candidate]]-SamplingData[[#This Row],[Candidate 7]])/(SamplingData[[#Totals],[Winning Candidate]]-SamplingData[[#Totals],[Candidate 7]]), 0)</f>
        <v>0</v>
      </c>
      <c r="W146" s="100">
        <f>IF(AND(SamplingData[[#This Row],[Total]]&lt;&gt; 0, NOT(ISBLANK(SamplingData[[#This Row],[Candidate 8]]))),(SamplingData[[#This Row],[Total]]+SamplingData[[#This Row],[Winning Candidate]]-SamplingData[[#This Row],[Candidate 8]])/(SamplingData[[#Totals],[Winning Candidate]]-SamplingData[[#Totals],[Candidate 8]]), 0)</f>
        <v>0</v>
      </c>
      <c r="X1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6" s="100">
        <f>MAX(SamplingData[[#This Row],[Error Bound (up) - Max. possible relative overstatement - Losing Candidate]:[Error Bound (up) - Max. possible relative overstatement - Candidate 12]])</f>
        <v>1.6433853738701725E-3</v>
      </c>
      <c r="AC146" s="100">
        <f>IF(SamplingData[[#This Row],[Max Error Bound (up)]] = 0,0,SamplingData[[#This Row],[Max Error Bound (up)]]/SamplingData[[#Totals],[Max Error Bound (up)]])</f>
        <v>6.6697707583850683E-4</v>
      </c>
      <c r="AD146" s="104">
        <f>SUM($AC$5:AC146)</f>
        <v>0.14531319224432654</v>
      </c>
      <c r="AE146" s="100" t="str" cm="1">
        <f t="array" ref="AE146">IF(SamplingData[[#This Row],[up/U Selection Probability]] = 0, "Zero", TEXT(SamplingData[[#This Row],[Lower Range]], REPT("0",LEN('General Info'!$B$42))) &amp; " - " &amp; TEXT(SamplingData[[#This Row],[Upper Range]], REPT("0",LEN('General Info'!$B$42))))</f>
        <v>14465 - 14530</v>
      </c>
      <c r="AF146" s="100">
        <f>SamplingData[[#This Row],[Upper Range]]-SamplingData[[#This Row],[Span]]</f>
        <v>14464.621516848803</v>
      </c>
      <c r="AG146" s="100">
        <f>IF(ISNUMBER('General Info'!$B$42), ((SamplingData[[#This Row],[up/U Selection Probability]]) * 'General Info'!$B$44) - 1, 0)</f>
        <v>65.697707583850686</v>
      </c>
      <c r="AH146" s="100">
        <f>IF(ISNUMBER('General Info'!$B$42), (SamplingData[[#This Row],[Running (cumulative) sum]] * ('General Info'!$B$42 -'General Info'!$B$43 + 1)) + 'General Info'!$B$43 - 1, 0)</f>
        <v>14530.319224432655</v>
      </c>
      <c r="AI146" s="100" t="str">
        <f>IF(ISERROR(MATCH(SamplingData[[#This Row],[Batch by Type (p)]],SelectedPrecincts[Batch Name], 0)), "", INDEX(SelectedPrecincts[Draw], MATCH(SamplingData[[#This Row],[Batch by Type (p)]],SelectedPrecincts[Batch Name], 0)))</f>
        <v/>
      </c>
      <c r="AJ146" s="101">
        <f>IF(COUNTIF(SelectedPrecincts[Batch Name],SamplingData[[#This Row],[Batch by Type (p)]]) &lt;&gt; 0, COUNTIF(SelectedPrecincts[Batch Name],SamplingData[[#This Row],[Batch by Type (p)]]), 0)</f>
        <v>0</v>
      </c>
    </row>
    <row r="147" spans="1:36" ht="15" customHeight="1" x14ac:dyDescent="0.35">
      <c r="A147" s="98" t="s">
        <v>358</v>
      </c>
      <c r="B147" s="98">
        <v>23</v>
      </c>
      <c r="C147" s="98">
        <v>5</v>
      </c>
      <c r="D147" s="93">
        <v>0</v>
      </c>
      <c r="E147" s="93"/>
      <c r="F147" s="93"/>
      <c r="G147" s="97"/>
      <c r="H147" s="97"/>
      <c r="I147" s="93"/>
      <c r="J147" s="93"/>
      <c r="K147" s="93"/>
      <c r="L147" s="93"/>
      <c r="M147" s="93"/>
      <c r="N147" s="98">
        <v>0</v>
      </c>
      <c r="O147" s="98">
        <v>1</v>
      </c>
      <c r="P147" s="99">
        <f>SUM(SamplingData[[#This Row],[Winning Candidate]:[Under Votes]])</f>
        <v>29</v>
      </c>
      <c r="Q147" s="100">
        <f>IF(AND(SamplingData[[#This Row],[Total]]&lt;&gt; 0, NOT(ISBLANK(SamplingData[[#This Row],[Losing Candidate]]))),(SamplingData[[#This Row],[Total]]+SamplingData[[#This Row],[Winning Candidate]]-SamplingData[[#This Row],[Losing Candidate]])/(SamplingData[[#Totals],[Winning Candidate]]-SamplingData[[#Totals],[Losing Candidate]]), 0)</f>
        <v>2.970735098919158E-3</v>
      </c>
      <c r="R147" s="100">
        <f>IF(AND(SamplingData[[#This Row],[Total]]&lt;&gt; 0, NOT(ISBLANK(SamplingData[[#This Row],[Candidate 3]]))),(SamplingData[[#This Row],[Total]]+SamplingData[[#This Row],[Winning Candidate]]-SamplingData[[#This Row],[Candidate 3]])/(SamplingData[[#Totals],[Winning Candidate]]-SamplingData[[#Totals],[Candidate 3]]), 0)</f>
        <v>2.935199819372319E-3</v>
      </c>
      <c r="S147" s="100">
        <f>IF(AND(SamplingData[[#This Row],[Total]]&lt;&gt; 0, NOT(ISBLANK(SamplingData[[#This Row],[Candidate 4]]))),(SamplingData[[#This Row],[Total]]+SamplingData[[#This Row],[Winning Candidate]]-SamplingData[[#This Row],[Candidate 4]])/(SamplingData[[#Totals],[Winning Candidate]]-SamplingData[[#Totals],[Candidate 4]]), 0)</f>
        <v>0</v>
      </c>
      <c r="T147" s="100">
        <f>IF(AND(SamplingData[[#This Row],[Total]]&lt;&gt; 0, NOT(ISBLANK(SamplingData[[#This Row],[Candidate 5]]))),(SamplingData[[#This Row],[Total]]+SamplingData[[#This Row],[Winning Candidate]]-SamplingData[[#This Row],[Candidate 5]])/(SamplingData[[#Totals],[Winning Candidate]]-SamplingData[[#Totals],[Candidate 5]]), 0)</f>
        <v>0</v>
      </c>
      <c r="U147" s="100">
        <f>IF(AND(SamplingData[[#This Row],[Total]]&lt;&gt; 0, NOT(ISBLANK(SamplingData[[#This Row],[Candidate 6]]))),(SamplingData[[#This Row],[Total]]+SamplingData[[#This Row],[Losing Candidate]]-SamplingData[[#This Row],[Candidate 6]])/(SamplingData[[#Totals],[Winning Candidate]]-SamplingData[[#Totals],[Candidate 6]]), 0)</f>
        <v>0</v>
      </c>
      <c r="V147" s="100">
        <f>IF(AND(SamplingData[[#This Row],[Total]]&lt;&gt; 0, NOT(ISBLANK(SamplingData[[#This Row],[Candidate 7]]))),(SamplingData[[#This Row],[Total]]+SamplingData[[#This Row],[Winning Candidate]]-SamplingData[[#This Row],[Candidate 7]])/(SamplingData[[#Totals],[Winning Candidate]]-SamplingData[[#Totals],[Candidate 7]]), 0)</f>
        <v>0</v>
      </c>
      <c r="W147" s="100">
        <f>IF(AND(SamplingData[[#This Row],[Total]]&lt;&gt; 0, NOT(ISBLANK(SamplingData[[#This Row],[Candidate 8]]))),(SamplingData[[#This Row],[Total]]+SamplingData[[#This Row],[Winning Candidate]]-SamplingData[[#This Row],[Candidate 8]])/(SamplingData[[#Totals],[Winning Candidate]]-SamplingData[[#Totals],[Candidate 8]]), 0)</f>
        <v>0</v>
      </c>
      <c r="X1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7" s="100">
        <f>MAX(SamplingData[[#This Row],[Error Bound (up) - Max. possible relative overstatement - Losing Candidate]:[Error Bound (up) - Max. possible relative overstatement - Candidate 12]])</f>
        <v>2.970735098919158E-3</v>
      </c>
      <c r="AC147" s="100">
        <f>IF(SamplingData[[#This Row],[Max Error Bound (up)]] = 0,0,SamplingData[[#This Row],[Max Error Bound (up)]]/SamplingData[[#Totals],[Max Error Bound (up)]])</f>
        <v>1.2056893294003779E-3</v>
      </c>
      <c r="AD147" s="104">
        <f>SUM($AC$5:AC147)</f>
        <v>0.14651888157372692</v>
      </c>
      <c r="AE147" s="100" t="str" cm="1">
        <f t="array" ref="AE147">IF(SamplingData[[#This Row],[up/U Selection Probability]] = 0, "Zero", TEXT(SamplingData[[#This Row],[Lower Range]], REPT("0",LEN('General Info'!$B$42))) &amp; " - " &amp; TEXT(SamplingData[[#This Row],[Upper Range]], REPT("0",LEN('General Info'!$B$42))))</f>
        <v>14531 - 14651</v>
      </c>
      <c r="AF147" s="100">
        <f>SamplingData[[#This Row],[Upper Range]]-SamplingData[[#This Row],[Span]]</f>
        <v>14531.319224432655</v>
      </c>
      <c r="AG147" s="100">
        <f>IF(ISNUMBER('General Info'!$B$42), ((SamplingData[[#This Row],[up/U Selection Probability]]) * 'General Info'!$B$44) - 1, 0)</f>
        <v>119.56893294003778</v>
      </c>
      <c r="AH147" s="100">
        <f>IF(ISNUMBER('General Info'!$B$42), (SamplingData[[#This Row],[Running (cumulative) sum]] * ('General Info'!$B$42 -'General Info'!$B$43 + 1)) + 'General Info'!$B$43 - 1, 0)</f>
        <v>14650.888157372692</v>
      </c>
      <c r="AI147" s="100" t="str">
        <f>IF(ISERROR(MATCH(SamplingData[[#This Row],[Batch by Type (p)]],SelectedPrecincts[Batch Name], 0)), "", INDEX(SelectedPrecincts[Draw], MATCH(SamplingData[[#This Row],[Batch by Type (p)]],SelectedPrecincts[Batch Name], 0)))</f>
        <v/>
      </c>
      <c r="AJ147" s="101">
        <f>IF(COUNTIF(SelectedPrecincts[Batch Name],SamplingData[[#This Row],[Batch by Type (p)]]) &lt;&gt; 0, COUNTIF(SelectedPrecincts[Batch Name],SamplingData[[#This Row],[Batch by Type (p)]]), 0)</f>
        <v>0</v>
      </c>
    </row>
    <row r="148" spans="1:36" ht="15" customHeight="1" x14ac:dyDescent="0.35">
      <c r="A148" s="98" t="s">
        <v>359</v>
      </c>
      <c r="B148" s="98">
        <v>4</v>
      </c>
      <c r="C148" s="98">
        <v>0</v>
      </c>
      <c r="D148" s="93">
        <v>0</v>
      </c>
      <c r="E148" s="93"/>
      <c r="F148" s="93"/>
      <c r="G148" s="97"/>
      <c r="H148" s="97"/>
      <c r="I148" s="93"/>
      <c r="J148" s="93"/>
      <c r="K148" s="93"/>
      <c r="L148" s="93"/>
      <c r="M148" s="93"/>
      <c r="N148" s="98">
        <v>0</v>
      </c>
      <c r="O148" s="98">
        <v>0</v>
      </c>
      <c r="P148" s="99">
        <f>SUM(SamplingData[[#This Row],[Winning Candidate]:[Under Votes]])</f>
        <v>4</v>
      </c>
      <c r="Q148"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5.0565703811389926E-4</v>
      </c>
      <c r="R148" s="100">
        <f>IF(AND(SamplingData[[#This Row],[Total]]&lt;&gt; 0, NOT(ISBLANK(SamplingData[[#This Row],[Candidate 3]]))),(SamplingData[[#This Row],[Total]]+SamplingData[[#This Row],[Winning Candidate]]-SamplingData[[#This Row],[Candidate 3]])/(SamplingData[[#Totals],[Winning Candidate]]-SamplingData[[#Totals],[Candidate 3]]), 0)</f>
        <v>4.5156920298035672E-4</v>
      </c>
      <c r="S148" s="100">
        <f>IF(AND(SamplingData[[#This Row],[Total]]&lt;&gt; 0, NOT(ISBLANK(SamplingData[[#This Row],[Candidate 4]]))),(SamplingData[[#This Row],[Total]]+SamplingData[[#This Row],[Winning Candidate]]-SamplingData[[#This Row],[Candidate 4]])/(SamplingData[[#Totals],[Winning Candidate]]-SamplingData[[#Totals],[Candidate 4]]), 0)</f>
        <v>0</v>
      </c>
      <c r="T148" s="100">
        <f>IF(AND(SamplingData[[#This Row],[Total]]&lt;&gt; 0, NOT(ISBLANK(SamplingData[[#This Row],[Candidate 5]]))),(SamplingData[[#This Row],[Total]]+SamplingData[[#This Row],[Winning Candidate]]-SamplingData[[#This Row],[Candidate 5]])/(SamplingData[[#Totals],[Winning Candidate]]-SamplingData[[#Totals],[Candidate 5]]), 0)</f>
        <v>0</v>
      </c>
      <c r="U148" s="100">
        <f>IF(AND(SamplingData[[#This Row],[Total]]&lt;&gt; 0, NOT(ISBLANK(SamplingData[[#This Row],[Candidate 6]]))),(SamplingData[[#This Row],[Total]]+SamplingData[[#This Row],[Losing Candidate]]-SamplingData[[#This Row],[Candidate 6]])/(SamplingData[[#Totals],[Winning Candidate]]-SamplingData[[#Totals],[Candidate 6]]), 0)</f>
        <v>0</v>
      </c>
      <c r="V148" s="100">
        <f>IF(AND(SamplingData[[#This Row],[Total]]&lt;&gt; 0, NOT(ISBLANK(SamplingData[[#This Row],[Candidate 7]]))),(SamplingData[[#This Row],[Total]]+SamplingData[[#This Row],[Winning Candidate]]-SamplingData[[#This Row],[Candidate 7]])/(SamplingData[[#Totals],[Winning Candidate]]-SamplingData[[#Totals],[Candidate 7]]), 0)</f>
        <v>0</v>
      </c>
      <c r="W148" s="100">
        <f>IF(AND(SamplingData[[#This Row],[Total]]&lt;&gt; 0, NOT(ISBLANK(SamplingData[[#This Row],[Candidate 8]]))),(SamplingData[[#This Row],[Total]]+SamplingData[[#This Row],[Winning Candidate]]-SamplingData[[#This Row],[Candidate 8]])/(SamplingData[[#Totals],[Winning Candidate]]-SamplingData[[#Totals],[Candidate 8]]), 0)</f>
        <v>0</v>
      </c>
      <c r="X1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8" s="100">
        <f>MAX(SamplingData[[#This Row],[Error Bound (up) - Max. possible relative overstatement - Losing Candidate]:[Error Bound (up) - Max. possible relative overstatement - Candidate 12]])</f>
        <v>5.0565703811389926E-4</v>
      </c>
      <c r="AC148" s="100">
        <f>IF(SamplingData[[#This Row],[Max Error Bound (up)]] = 0,0,SamplingData[[#This Row],[Max Error Bound (up)]]/SamplingData[[#Totals],[Max Error Bound (up)]])</f>
        <v>2.0522371564261752E-4</v>
      </c>
      <c r="AD148" s="104">
        <f>SUM($AC$5:AC148)</f>
        <v>0.14672410528936952</v>
      </c>
      <c r="AE148" s="100" t="str" cm="1">
        <f t="array" ref="AE148">IF(SamplingData[[#This Row],[up/U Selection Probability]] = 0, "Zero", TEXT(SamplingData[[#This Row],[Lower Range]], REPT("0",LEN('General Info'!$B$42))) &amp; " - " &amp; TEXT(SamplingData[[#This Row],[Upper Range]], REPT("0",LEN('General Info'!$B$42))))</f>
        <v>14652 - 14671</v>
      </c>
      <c r="AF148" s="100">
        <f>SamplingData[[#This Row],[Upper Range]]-SamplingData[[#This Row],[Span]]</f>
        <v>14651.88815737269</v>
      </c>
      <c r="AG148" s="100">
        <f>IF(ISNUMBER('General Info'!$B$42), ((SamplingData[[#This Row],[up/U Selection Probability]]) * 'General Info'!$B$44) - 1, 0)</f>
        <v>19.522371564261753</v>
      </c>
      <c r="AH148" s="100">
        <f>IF(ISNUMBER('General Info'!$B$42), (SamplingData[[#This Row],[Running (cumulative) sum]] * ('General Info'!$B$42 -'General Info'!$B$43 + 1)) + 'General Info'!$B$43 - 1, 0)</f>
        <v>14671.410528936953</v>
      </c>
      <c r="AI148" s="100" t="str">
        <f>IF(ISERROR(MATCH(SamplingData[[#This Row],[Batch by Type (p)]],SelectedPrecincts[Batch Name], 0)), "", INDEX(SelectedPrecincts[Draw], MATCH(SamplingData[[#This Row],[Batch by Type (p)]],SelectedPrecincts[Batch Name], 0)))</f>
        <v/>
      </c>
      <c r="AJ148" s="101">
        <f>IF(COUNTIF(SelectedPrecincts[Batch Name],SamplingData[[#This Row],[Batch by Type (p)]]) &lt;&gt; 0, COUNTIF(SelectedPrecincts[Batch Name],SamplingData[[#This Row],[Batch by Type (p)]]), 0)</f>
        <v>0</v>
      </c>
    </row>
    <row r="149" spans="1:36" ht="15" customHeight="1" x14ac:dyDescent="0.35">
      <c r="A149" s="98" t="s">
        <v>360</v>
      </c>
      <c r="B149" s="98">
        <v>18</v>
      </c>
      <c r="C149" s="98">
        <v>3</v>
      </c>
      <c r="D149" s="93">
        <v>2</v>
      </c>
      <c r="E149" s="93"/>
      <c r="F149" s="93"/>
      <c r="G149" s="97"/>
      <c r="H149" s="97"/>
      <c r="I149" s="93"/>
      <c r="J149" s="93"/>
      <c r="K149" s="93"/>
      <c r="L149" s="93"/>
      <c r="M149" s="93"/>
      <c r="N149" s="98">
        <v>0</v>
      </c>
      <c r="O149" s="98">
        <v>1</v>
      </c>
      <c r="P149" s="99">
        <f>SUM(SamplingData[[#This Row],[Winning Candidate]:[Under Votes]])</f>
        <v>24</v>
      </c>
      <c r="Q149" s="100">
        <f>IF(AND(SamplingData[[#This Row],[Total]]&lt;&gt; 0, NOT(ISBLANK(SamplingData[[#This Row],[Losing Candidate]]))),(SamplingData[[#This Row],[Total]]+SamplingData[[#This Row],[Winning Candidate]]-SamplingData[[#This Row],[Losing Candidate]])/(SamplingData[[#Totals],[Winning Candidate]]-SamplingData[[#Totals],[Losing Candidate]]), 0)</f>
        <v>2.4650780608052587E-3</v>
      </c>
      <c r="R149" s="100">
        <f>IF(AND(SamplingData[[#This Row],[Total]]&lt;&gt; 0, NOT(ISBLANK(SamplingData[[#This Row],[Candidate 3]]))),(SamplingData[[#This Row],[Total]]+SamplingData[[#This Row],[Winning Candidate]]-SamplingData[[#This Row],[Candidate 3]])/(SamplingData[[#Totals],[Winning Candidate]]-SamplingData[[#Totals],[Candidate 3]]), 0)</f>
        <v>2.2578460149017838E-3</v>
      </c>
      <c r="S149" s="100">
        <f>IF(AND(SamplingData[[#This Row],[Total]]&lt;&gt; 0, NOT(ISBLANK(SamplingData[[#This Row],[Candidate 4]]))),(SamplingData[[#This Row],[Total]]+SamplingData[[#This Row],[Winning Candidate]]-SamplingData[[#This Row],[Candidate 4]])/(SamplingData[[#Totals],[Winning Candidate]]-SamplingData[[#Totals],[Candidate 4]]), 0)</f>
        <v>0</v>
      </c>
      <c r="T149" s="100">
        <f>IF(AND(SamplingData[[#This Row],[Total]]&lt;&gt; 0, NOT(ISBLANK(SamplingData[[#This Row],[Candidate 5]]))),(SamplingData[[#This Row],[Total]]+SamplingData[[#This Row],[Winning Candidate]]-SamplingData[[#This Row],[Candidate 5]])/(SamplingData[[#Totals],[Winning Candidate]]-SamplingData[[#Totals],[Candidate 5]]), 0)</f>
        <v>0</v>
      </c>
      <c r="U149" s="100">
        <f>IF(AND(SamplingData[[#This Row],[Total]]&lt;&gt; 0, NOT(ISBLANK(SamplingData[[#This Row],[Candidate 6]]))),(SamplingData[[#This Row],[Total]]+SamplingData[[#This Row],[Losing Candidate]]-SamplingData[[#This Row],[Candidate 6]])/(SamplingData[[#Totals],[Winning Candidate]]-SamplingData[[#Totals],[Candidate 6]]), 0)</f>
        <v>0</v>
      </c>
      <c r="V149" s="100">
        <f>IF(AND(SamplingData[[#This Row],[Total]]&lt;&gt; 0, NOT(ISBLANK(SamplingData[[#This Row],[Candidate 7]]))),(SamplingData[[#This Row],[Total]]+SamplingData[[#This Row],[Winning Candidate]]-SamplingData[[#This Row],[Candidate 7]])/(SamplingData[[#Totals],[Winning Candidate]]-SamplingData[[#Totals],[Candidate 7]]), 0)</f>
        <v>0</v>
      </c>
      <c r="W149" s="100">
        <f>IF(AND(SamplingData[[#This Row],[Total]]&lt;&gt; 0, NOT(ISBLANK(SamplingData[[#This Row],[Candidate 8]]))),(SamplingData[[#This Row],[Total]]+SamplingData[[#This Row],[Winning Candidate]]-SamplingData[[#This Row],[Candidate 8]])/(SamplingData[[#Totals],[Winning Candidate]]-SamplingData[[#Totals],[Candidate 8]]), 0)</f>
        <v>0</v>
      </c>
      <c r="X1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9" s="100">
        <f>MAX(SamplingData[[#This Row],[Error Bound (up) - Max. possible relative overstatement - Losing Candidate]:[Error Bound (up) - Max. possible relative overstatement - Candidate 12]])</f>
        <v>2.4650780608052587E-3</v>
      </c>
      <c r="AC149" s="100">
        <f>IF(SamplingData[[#This Row],[Max Error Bound (up)]] = 0,0,SamplingData[[#This Row],[Max Error Bound (up)]]/SamplingData[[#Totals],[Max Error Bound (up)]])</f>
        <v>1.0004656137577604E-3</v>
      </c>
      <c r="AD149" s="104">
        <f>SUM($AC$5:AC149)</f>
        <v>0.14772457090312729</v>
      </c>
      <c r="AE149" s="100" t="str" cm="1">
        <f t="array" ref="AE149">IF(SamplingData[[#This Row],[up/U Selection Probability]] = 0, "Zero", TEXT(SamplingData[[#This Row],[Lower Range]], REPT("0",LEN('General Info'!$B$42))) &amp; " - " &amp; TEXT(SamplingData[[#This Row],[Upper Range]], REPT("0",LEN('General Info'!$B$42))))</f>
        <v>14672 - 14771</v>
      </c>
      <c r="AF149" s="100">
        <f>SamplingData[[#This Row],[Upper Range]]-SamplingData[[#This Row],[Span]]</f>
        <v>14672.410528936955</v>
      </c>
      <c r="AG149" s="100">
        <f>IF(ISNUMBER('General Info'!$B$42), ((SamplingData[[#This Row],[up/U Selection Probability]]) * 'General Info'!$B$44) - 1, 0)</f>
        <v>99.046561375776037</v>
      </c>
      <c r="AH149" s="100">
        <f>IF(ISNUMBER('General Info'!$B$42), (SamplingData[[#This Row],[Running (cumulative) sum]] * ('General Info'!$B$42 -'General Info'!$B$43 + 1)) + 'General Info'!$B$43 - 1, 0)</f>
        <v>14771.45709031273</v>
      </c>
      <c r="AI149" s="100" t="str">
        <f>IF(ISERROR(MATCH(SamplingData[[#This Row],[Batch by Type (p)]],SelectedPrecincts[Batch Name], 0)), "", INDEX(SelectedPrecincts[Draw], MATCH(SamplingData[[#This Row],[Batch by Type (p)]],SelectedPrecincts[Batch Name], 0)))</f>
        <v/>
      </c>
      <c r="AJ149" s="101">
        <f>IF(COUNTIF(SelectedPrecincts[Batch Name],SamplingData[[#This Row],[Batch by Type (p)]]) &lt;&gt; 0, COUNTIF(SelectedPrecincts[Batch Name],SamplingData[[#This Row],[Batch by Type (p)]]), 0)</f>
        <v>0</v>
      </c>
    </row>
    <row r="150" spans="1:36" ht="15" customHeight="1" x14ac:dyDescent="0.35">
      <c r="A150" s="98" t="s">
        <v>361</v>
      </c>
      <c r="B150" s="98">
        <v>26</v>
      </c>
      <c r="C150" s="98">
        <v>5</v>
      </c>
      <c r="D150" s="93">
        <v>0</v>
      </c>
      <c r="E150" s="93"/>
      <c r="F150" s="93"/>
      <c r="G150" s="97"/>
      <c r="H150" s="97"/>
      <c r="I150" s="93"/>
      <c r="J150" s="93"/>
      <c r="K150" s="93"/>
      <c r="L150" s="93"/>
      <c r="M150" s="93"/>
      <c r="N150" s="98">
        <v>0</v>
      </c>
      <c r="O150" s="98">
        <v>0</v>
      </c>
      <c r="P150" s="99">
        <f>SUM(SamplingData[[#This Row],[Winning Candidate]:[Under Votes]])</f>
        <v>31</v>
      </c>
      <c r="Q150" s="100">
        <f>IF(AND(SamplingData[[#This Row],[Total]]&lt;&gt; 0, NOT(ISBLANK(SamplingData[[#This Row],[Losing Candidate]]))),(SamplingData[[#This Row],[Total]]+SamplingData[[#This Row],[Winning Candidate]]-SamplingData[[#This Row],[Losing Candidate]])/(SamplingData[[#Totals],[Winning Candidate]]-SamplingData[[#Totals],[Losing Candidate]]), 0)</f>
        <v>3.286770747740345E-3</v>
      </c>
      <c r="R150" s="100">
        <f>IF(AND(SamplingData[[#This Row],[Total]]&lt;&gt; 0, NOT(ISBLANK(SamplingData[[#This Row],[Candidate 3]]))),(SamplingData[[#This Row],[Total]]+SamplingData[[#This Row],[Winning Candidate]]-SamplingData[[#This Row],[Candidate 3]])/(SamplingData[[#Totals],[Winning Candidate]]-SamplingData[[#Totals],[Candidate 3]]), 0)</f>
        <v>3.2174305712350418E-3</v>
      </c>
      <c r="S150" s="100">
        <f>IF(AND(SamplingData[[#This Row],[Total]]&lt;&gt; 0, NOT(ISBLANK(SamplingData[[#This Row],[Candidate 4]]))),(SamplingData[[#This Row],[Total]]+SamplingData[[#This Row],[Winning Candidate]]-SamplingData[[#This Row],[Candidate 4]])/(SamplingData[[#Totals],[Winning Candidate]]-SamplingData[[#Totals],[Candidate 4]]), 0)</f>
        <v>0</v>
      </c>
      <c r="T150" s="100">
        <f>IF(AND(SamplingData[[#This Row],[Total]]&lt;&gt; 0, NOT(ISBLANK(SamplingData[[#This Row],[Candidate 5]]))),(SamplingData[[#This Row],[Total]]+SamplingData[[#This Row],[Winning Candidate]]-SamplingData[[#This Row],[Candidate 5]])/(SamplingData[[#Totals],[Winning Candidate]]-SamplingData[[#Totals],[Candidate 5]]), 0)</f>
        <v>0</v>
      </c>
      <c r="U150" s="100">
        <f>IF(AND(SamplingData[[#This Row],[Total]]&lt;&gt; 0, NOT(ISBLANK(SamplingData[[#This Row],[Candidate 6]]))),(SamplingData[[#This Row],[Total]]+SamplingData[[#This Row],[Losing Candidate]]-SamplingData[[#This Row],[Candidate 6]])/(SamplingData[[#Totals],[Winning Candidate]]-SamplingData[[#Totals],[Candidate 6]]), 0)</f>
        <v>0</v>
      </c>
      <c r="V150" s="100">
        <f>IF(AND(SamplingData[[#This Row],[Total]]&lt;&gt; 0, NOT(ISBLANK(SamplingData[[#This Row],[Candidate 7]]))),(SamplingData[[#This Row],[Total]]+SamplingData[[#This Row],[Winning Candidate]]-SamplingData[[#This Row],[Candidate 7]])/(SamplingData[[#Totals],[Winning Candidate]]-SamplingData[[#Totals],[Candidate 7]]), 0)</f>
        <v>0</v>
      </c>
      <c r="W150" s="100">
        <f>IF(AND(SamplingData[[#This Row],[Total]]&lt;&gt; 0, NOT(ISBLANK(SamplingData[[#This Row],[Candidate 8]]))),(SamplingData[[#This Row],[Total]]+SamplingData[[#This Row],[Winning Candidate]]-SamplingData[[#This Row],[Candidate 8]])/(SamplingData[[#Totals],[Winning Candidate]]-SamplingData[[#Totals],[Candidate 8]]), 0)</f>
        <v>0</v>
      </c>
      <c r="X1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0" s="100">
        <f>MAX(SamplingData[[#This Row],[Error Bound (up) - Max. possible relative overstatement - Losing Candidate]:[Error Bound (up) - Max. possible relative overstatement - Candidate 12]])</f>
        <v>3.286770747740345E-3</v>
      </c>
      <c r="AC150" s="100">
        <f>IF(SamplingData[[#This Row],[Max Error Bound (up)]] = 0,0,SamplingData[[#This Row],[Max Error Bound (up)]]/SamplingData[[#Totals],[Max Error Bound (up)]])</f>
        <v>1.3339541516770137E-3</v>
      </c>
      <c r="AD150" s="104">
        <f>SUM($AC$5:AC150)</f>
        <v>0.1490585250548043</v>
      </c>
      <c r="AE150" s="100" t="str" cm="1">
        <f t="array" ref="AE150">IF(SamplingData[[#This Row],[up/U Selection Probability]] = 0, "Zero", TEXT(SamplingData[[#This Row],[Lower Range]], REPT("0",LEN('General Info'!$B$42))) &amp; " - " &amp; TEXT(SamplingData[[#This Row],[Upper Range]], REPT("0",LEN('General Info'!$B$42))))</f>
        <v>14772 - 14905</v>
      </c>
      <c r="AF150" s="100">
        <f>SamplingData[[#This Row],[Upper Range]]-SamplingData[[#This Row],[Span]]</f>
        <v>14772.45709031273</v>
      </c>
      <c r="AG150" s="100">
        <f>IF(ISNUMBER('General Info'!$B$42), ((SamplingData[[#This Row],[up/U Selection Probability]]) * 'General Info'!$B$44) - 1, 0)</f>
        <v>132.39541516770137</v>
      </c>
      <c r="AH150" s="100">
        <f>IF(ISNUMBER('General Info'!$B$42), (SamplingData[[#This Row],[Running (cumulative) sum]] * ('General Info'!$B$42 -'General Info'!$B$43 + 1)) + 'General Info'!$B$43 - 1, 0)</f>
        <v>14904.85250548043</v>
      </c>
      <c r="AI150" s="100" t="str">
        <f>IF(ISERROR(MATCH(SamplingData[[#This Row],[Batch by Type (p)]],SelectedPrecincts[Batch Name], 0)), "", INDEX(SelectedPrecincts[Draw], MATCH(SamplingData[[#This Row],[Batch by Type (p)]],SelectedPrecincts[Batch Name], 0)))</f>
        <v/>
      </c>
      <c r="AJ150" s="101">
        <f>IF(COUNTIF(SelectedPrecincts[Batch Name],SamplingData[[#This Row],[Batch by Type (p)]]) &lt;&gt; 0, COUNTIF(SelectedPrecincts[Batch Name],SamplingData[[#This Row],[Batch by Type (p)]]), 0)</f>
        <v>0</v>
      </c>
    </row>
    <row r="151" spans="1:36" ht="15" customHeight="1" x14ac:dyDescent="0.35">
      <c r="A151" s="98" t="s">
        <v>362</v>
      </c>
      <c r="B151" s="98">
        <v>33</v>
      </c>
      <c r="C151" s="98">
        <v>6</v>
      </c>
      <c r="D151" s="93">
        <v>2</v>
      </c>
      <c r="E151" s="93"/>
      <c r="F151" s="93"/>
      <c r="G151" s="97"/>
      <c r="H151" s="97"/>
      <c r="I151" s="93"/>
      <c r="J151" s="93"/>
      <c r="K151" s="93"/>
      <c r="L151" s="93"/>
      <c r="M151" s="93"/>
      <c r="N151" s="98">
        <v>0</v>
      </c>
      <c r="O151" s="98">
        <v>0</v>
      </c>
      <c r="P151" s="99">
        <f>SUM(SamplingData[[#This Row],[Winning Candidate]:[Under Votes]])</f>
        <v>41</v>
      </c>
      <c r="Q151" s="100">
        <f>IF(AND(SamplingData[[#This Row],[Total]]&lt;&gt; 0, NOT(ISBLANK(SamplingData[[#This Row],[Losing Candidate]]))),(SamplingData[[#This Row],[Total]]+SamplingData[[#This Row],[Winning Candidate]]-SamplingData[[#This Row],[Losing Candidate]])/(SamplingData[[#Totals],[Winning Candidate]]-SamplingData[[#Totals],[Losing Candidate]]), 0)</f>
        <v>4.2980848239681435E-3</v>
      </c>
      <c r="R151" s="100">
        <f>IF(AND(SamplingData[[#This Row],[Total]]&lt;&gt; 0, NOT(ISBLANK(SamplingData[[#This Row],[Candidate 3]]))),(SamplingData[[#This Row],[Total]]+SamplingData[[#This Row],[Winning Candidate]]-SamplingData[[#This Row],[Candidate 3]])/(SamplingData[[#Totals],[Winning Candidate]]-SamplingData[[#Totals],[Candidate 3]]), 0)</f>
        <v>4.0641228268232105E-3</v>
      </c>
      <c r="S151" s="100">
        <f>IF(AND(SamplingData[[#This Row],[Total]]&lt;&gt; 0, NOT(ISBLANK(SamplingData[[#This Row],[Candidate 4]]))),(SamplingData[[#This Row],[Total]]+SamplingData[[#This Row],[Winning Candidate]]-SamplingData[[#This Row],[Candidate 4]])/(SamplingData[[#Totals],[Winning Candidate]]-SamplingData[[#Totals],[Candidate 4]]), 0)</f>
        <v>0</v>
      </c>
      <c r="T151" s="100">
        <f>IF(AND(SamplingData[[#This Row],[Total]]&lt;&gt; 0, NOT(ISBLANK(SamplingData[[#This Row],[Candidate 5]]))),(SamplingData[[#This Row],[Total]]+SamplingData[[#This Row],[Winning Candidate]]-SamplingData[[#This Row],[Candidate 5]])/(SamplingData[[#Totals],[Winning Candidate]]-SamplingData[[#Totals],[Candidate 5]]), 0)</f>
        <v>0</v>
      </c>
      <c r="U151" s="100">
        <f>IF(AND(SamplingData[[#This Row],[Total]]&lt;&gt; 0, NOT(ISBLANK(SamplingData[[#This Row],[Candidate 6]]))),(SamplingData[[#This Row],[Total]]+SamplingData[[#This Row],[Losing Candidate]]-SamplingData[[#This Row],[Candidate 6]])/(SamplingData[[#Totals],[Winning Candidate]]-SamplingData[[#Totals],[Candidate 6]]), 0)</f>
        <v>0</v>
      </c>
      <c r="V151" s="100">
        <f>IF(AND(SamplingData[[#This Row],[Total]]&lt;&gt; 0, NOT(ISBLANK(SamplingData[[#This Row],[Candidate 7]]))),(SamplingData[[#This Row],[Total]]+SamplingData[[#This Row],[Winning Candidate]]-SamplingData[[#This Row],[Candidate 7]])/(SamplingData[[#Totals],[Winning Candidate]]-SamplingData[[#Totals],[Candidate 7]]), 0)</f>
        <v>0</v>
      </c>
      <c r="W151" s="100">
        <f>IF(AND(SamplingData[[#This Row],[Total]]&lt;&gt; 0, NOT(ISBLANK(SamplingData[[#This Row],[Candidate 8]]))),(SamplingData[[#This Row],[Total]]+SamplingData[[#This Row],[Winning Candidate]]-SamplingData[[#This Row],[Candidate 8]])/(SamplingData[[#Totals],[Winning Candidate]]-SamplingData[[#Totals],[Candidate 8]]), 0)</f>
        <v>0</v>
      </c>
      <c r="X1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1" s="100">
        <f>MAX(SamplingData[[#This Row],[Error Bound (up) - Max. possible relative overstatement - Losing Candidate]:[Error Bound (up) - Max. possible relative overstatement - Candidate 12]])</f>
        <v>4.2980848239681435E-3</v>
      </c>
      <c r="AC151" s="100">
        <f>IF(SamplingData[[#This Row],[Max Error Bound (up)]] = 0,0,SamplingData[[#This Row],[Max Error Bound (up)]]/SamplingData[[#Totals],[Max Error Bound (up)]])</f>
        <v>1.7444015829622488E-3</v>
      </c>
      <c r="AD151" s="104">
        <f>SUM($AC$5:AC151)</f>
        <v>0.15080292663776654</v>
      </c>
      <c r="AE151" s="100" t="str" cm="1">
        <f t="array" ref="AE151">IF(SamplingData[[#This Row],[up/U Selection Probability]] = 0, "Zero", TEXT(SamplingData[[#This Row],[Lower Range]], REPT("0",LEN('General Info'!$B$42))) &amp; " - " &amp; TEXT(SamplingData[[#This Row],[Upper Range]], REPT("0",LEN('General Info'!$B$42))))</f>
        <v>14906 - 15079</v>
      </c>
      <c r="AF151" s="100">
        <f>SamplingData[[#This Row],[Upper Range]]-SamplingData[[#This Row],[Span]]</f>
        <v>14905.852505480429</v>
      </c>
      <c r="AG151" s="100">
        <f>IF(ISNUMBER('General Info'!$B$42), ((SamplingData[[#This Row],[up/U Selection Probability]]) * 'General Info'!$B$44) - 1, 0)</f>
        <v>173.44015829622489</v>
      </c>
      <c r="AH151" s="100">
        <f>IF(ISNUMBER('General Info'!$B$42), (SamplingData[[#This Row],[Running (cumulative) sum]] * ('General Info'!$B$42 -'General Info'!$B$43 + 1)) + 'General Info'!$B$43 - 1, 0)</f>
        <v>15079.292663776654</v>
      </c>
      <c r="AI151" s="100" t="str">
        <f>IF(ISERROR(MATCH(SamplingData[[#This Row],[Batch by Type (p)]],SelectedPrecincts[Batch Name], 0)), "", INDEX(SelectedPrecincts[Draw], MATCH(SamplingData[[#This Row],[Batch by Type (p)]],SelectedPrecincts[Batch Name], 0)))</f>
        <v/>
      </c>
      <c r="AJ151" s="101">
        <f>IF(COUNTIF(SelectedPrecincts[Batch Name],SamplingData[[#This Row],[Batch by Type (p)]]) &lt;&gt; 0, COUNTIF(SelectedPrecincts[Batch Name],SamplingData[[#This Row],[Batch by Type (p)]]), 0)</f>
        <v>0</v>
      </c>
    </row>
    <row r="152" spans="1:36" ht="15" customHeight="1" x14ac:dyDescent="0.35">
      <c r="A152" s="98" t="s">
        <v>363</v>
      </c>
      <c r="B152" s="98">
        <v>13</v>
      </c>
      <c r="C152" s="98">
        <v>2</v>
      </c>
      <c r="D152" s="93">
        <v>2</v>
      </c>
      <c r="E152" s="93"/>
      <c r="F152" s="93"/>
      <c r="G152" s="97"/>
      <c r="H152" s="97"/>
      <c r="I152" s="93"/>
      <c r="J152" s="93"/>
      <c r="K152" s="93"/>
      <c r="L152" s="93"/>
      <c r="M152" s="93"/>
      <c r="N152" s="98">
        <v>0</v>
      </c>
      <c r="O152" s="98">
        <v>1</v>
      </c>
      <c r="P152" s="99">
        <f>SUM(SamplingData[[#This Row],[Winning Candidate]:[Under Votes]])</f>
        <v>18</v>
      </c>
      <c r="Q152"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152" s="100">
        <f>IF(AND(SamplingData[[#This Row],[Total]]&lt;&gt; 0, NOT(ISBLANK(SamplingData[[#This Row],[Candidate 3]]))),(SamplingData[[#This Row],[Total]]+SamplingData[[#This Row],[Winning Candidate]]-SamplingData[[#This Row],[Candidate 3]])/(SamplingData[[#Totals],[Winning Candidate]]-SamplingData[[#Totals],[Candidate 3]]), 0)</f>
        <v>1.6369383608037932E-3</v>
      </c>
      <c r="S152" s="100">
        <f>IF(AND(SamplingData[[#This Row],[Total]]&lt;&gt; 0, NOT(ISBLANK(SamplingData[[#This Row],[Candidate 4]]))),(SamplingData[[#This Row],[Total]]+SamplingData[[#This Row],[Winning Candidate]]-SamplingData[[#This Row],[Candidate 4]])/(SamplingData[[#Totals],[Winning Candidate]]-SamplingData[[#Totals],[Candidate 4]]), 0)</f>
        <v>0</v>
      </c>
      <c r="T152" s="100">
        <f>IF(AND(SamplingData[[#This Row],[Total]]&lt;&gt; 0, NOT(ISBLANK(SamplingData[[#This Row],[Candidate 5]]))),(SamplingData[[#This Row],[Total]]+SamplingData[[#This Row],[Winning Candidate]]-SamplingData[[#This Row],[Candidate 5]])/(SamplingData[[#Totals],[Winning Candidate]]-SamplingData[[#Totals],[Candidate 5]]), 0)</f>
        <v>0</v>
      </c>
      <c r="U152" s="100">
        <f>IF(AND(SamplingData[[#This Row],[Total]]&lt;&gt; 0, NOT(ISBLANK(SamplingData[[#This Row],[Candidate 6]]))),(SamplingData[[#This Row],[Total]]+SamplingData[[#This Row],[Losing Candidate]]-SamplingData[[#This Row],[Candidate 6]])/(SamplingData[[#Totals],[Winning Candidate]]-SamplingData[[#Totals],[Candidate 6]]), 0)</f>
        <v>0</v>
      </c>
      <c r="V152" s="100">
        <f>IF(AND(SamplingData[[#This Row],[Total]]&lt;&gt; 0, NOT(ISBLANK(SamplingData[[#This Row],[Candidate 7]]))),(SamplingData[[#This Row],[Total]]+SamplingData[[#This Row],[Winning Candidate]]-SamplingData[[#This Row],[Candidate 7]])/(SamplingData[[#Totals],[Winning Candidate]]-SamplingData[[#Totals],[Candidate 7]]), 0)</f>
        <v>0</v>
      </c>
      <c r="W152" s="100">
        <f>IF(AND(SamplingData[[#This Row],[Total]]&lt;&gt; 0, NOT(ISBLANK(SamplingData[[#This Row],[Candidate 8]]))),(SamplingData[[#This Row],[Total]]+SamplingData[[#This Row],[Winning Candidate]]-SamplingData[[#This Row],[Candidate 8]])/(SamplingData[[#Totals],[Winning Candidate]]-SamplingData[[#Totals],[Candidate 8]]), 0)</f>
        <v>0</v>
      </c>
      <c r="X1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2" s="100">
        <f>MAX(SamplingData[[#This Row],[Error Bound (up) - Max. possible relative overstatement - Losing Candidate]:[Error Bound (up) - Max. possible relative overstatement - Candidate 12]])</f>
        <v>1.8330067631628848E-3</v>
      </c>
      <c r="AC152" s="100">
        <f>IF(SamplingData[[#This Row],[Max Error Bound (up)]] = 0,0,SamplingData[[#This Row],[Max Error Bound (up)]]/SamplingData[[#Totals],[Max Error Bound (up)]])</f>
        <v>7.4393596920448851E-4</v>
      </c>
      <c r="AD152" s="104">
        <f>SUM($AC$5:AC152)</f>
        <v>0.15154686260697103</v>
      </c>
      <c r="AE152" s="100" t="str" cm="1">
        <f t="array" ref="AE152">IF(SamplingData[[#This Row],[up/U Selection Probability]] = 0, "Zero", TEXT(SamplingData[[#This Row],[Lower Range]], REPT("0",LEN('General Info'!$B$42))) &amp; " - " &amp; TEXT(SamplingData[[#This Row],[Upper Range]], REPT("0",LEN('General Info'!$B$42))))</f>
        <v>15080 - 15154</v>
      </c>
      <c r="AF152" s="100">
        <f>SamplingData[[#This Row],[Upper Range]]-SamplingData[[#This Row],[Span]]</f>
        <v>15080.292663776654</v>
      </c>
      <c r="AG152" s="100">
        <f>IF(ISNUMBER('General Info'!$B$42), ((SamplingData[[#This Row],[up/U Selection Probability]]) * 'General Info'!$B$44) - 1, 0)</f>
        <v>73.393596920448857</v>
      </c>
      <c r="AH152" s="100">
        <f>IF(ISNUMBER('General Info'!$B$42), (SamplingData[[#This Row],[Running (cumulative) sum]] * ('General Info'!$B$42 -'General Info'!$B$43 + 1)) + 'General Info'!$B$43 - 1, 0)</f>
        <v>15153.686260697103</v>
      </c>
      <c r="AI152" s="100" t="str">
        <f>IF(ISERROR(MATCH(SamplingData[[#This Row],[Batch by Type (p)]],SelectedPrecincts[Batch Name], 0)), "", INDEX(SelectedPrecincts[Draw], MATCH(SamplingData[[#This Row],[Batch by Type (p)]],SelectedPrecincts[Batch Name], 0)))</f>
        <v/>
      </c>
      <c r="AJ152" s="101">
        <f>IF(COUNTIF(SelectedPrecincts[Batch Name],SamplingData[[#This Row],[Batch by Type (p)]]) &lt;&gt; 0, COUNTIF(SelectedPrecincts[Batch Name],SamplingData[[#This Row],[Batch by Type (p)]]), 0)</f>
        <v>0</v>
      </c>
    </row>
    <row r="153" spans="1:36" ht="15" customHeight="1" x14ac:dyDescent="0.35">
      <c r="A153" s="98" t="s">
        <v>364</v>
      </c>
      <c r="B153" s="98">
        <v>21</v>
      </c>
      <c r="C153" s="98">
        <v>2</v>
      </c>
      <c r="D153" s="93">
        <v>2</v>
      </c>
      <c r="E153" s="93"/>
      <c r="F153" s="93"/>
      <c r="G153" s="97"/>
      <c r="H153" s="97"/>
      <c r="I153" s="93"/>
      <c r="J153" s="93"/>
      <c r="K153" s="93"/>
      <c r="L153" s="93"/>
      <c r="M153" s="93"/>
      <c r="N153" s="98">
        <v>0</v>
      </c>
      <c r="O153" s="98">
        <v>1</v>
      </c>
      <c r="P153" s="99">
        <f>SUM(SamplingData[[#This Row],[Winning Candidate]:[Under Votes]])</f>
        <v>26</v>
      </c>
      <c r="Q153" s="100">
        <f>IF(AND(SamplingData[[#This Row],[Total]]&lt;&gt; 0, NOT(ISBLANK(SamplingData[[#This Row],[Losing Candidate]]))),(SamplingData[[#This Row],[Total]]+SamplingData[[#This Row],[Winning Candidate]]-SamplingData[[#This Row],[Losing Candidate]])/(SamplingData[[#Totals],[Winning Candidate]]-SamplingData[[#Totals],[Losing Candidate]]), 0)</f>
        <v>2.8443208393906833E-3</v>
      </c>
      <c r="R153" s="100">
        <f>IF(AND(SamplingData[[#This Row],[Total]]&lt;&gt; 0, NOT(ISBLANK(SamplingData[[#This Row],[Candidate 3]]))),(SamplingData[[#This Row],[Total]]+SamplingData[[#This Row],[Winning Candidate]]-SamplingData[[#This Row],[Candidate 3]])/(SamplingData[[#Totals],[Winning Candidate]]-SamplingData[[#Totals],[Candidate 3]]), 0)</f>
        <v>2.5400767667645065E-3</v>
      </c>
      <c r="S153" s="100">
        <f>IF(AND(SamplingData[[#This Row],[Total]]&lt;&gt; 0, NOT(ISBLANK(SamplingData[[#This Row],[Candidate 4]]))),(SamplingData[[#This Row],[Total]]+SamplingData[[#This Row],[Winning Candidate]]-SamplingData[[#This Row],[Candidate 4]])/(SamplingData[[#Totals],[Winning Candidate]]-SamplingData[[#Totals],[Candidate 4]]), 0)</f>
        <v>0</v>
      </c>
      <c r="T153" s="100">
        <f>IF(AND(SamplingData[[#This Row],[Total]]&lt;&gt; 0, NOT(ISBLANK(SamplingData[[#This Row],[Candidate 5]]))),(SamplingData[[#This Row],[Total]]+SamplingData[[#This Row],[Winning Candidate]]-SamplingData[[#This Row],[Candidate 5]])/(SamplingData[[#Totals],[Winning Candidate]]-SamplingData[[#Totals],[Candidate 5]]), 0)</f>
        <v>0</v>
      </c>
      <c r="U153" s="100">
        <f>IF(AND(SamplingData[[#This Row],[Total]]&lt;&gt; 0, NOT(ISBLANK(SamplingData[[#This Row],[Candidate 6]]))),(SamplingData[[#This Row],[Total]]+SamplingData[[#This Row],[Losing Candidate]]-SamplingData[[#This Row],[Candidate 6]])/(SamplingData[[#Totals],[Winning Candidate]]-SamplingData[[#Totals],[Candidate 6]]), 0)</f>
        <v>0</v>
      </c>
      <c r="V153" s="100">
        <f>IF(AND(SamplingData[[#This Row],[Total]]&lt;&gt; 0, NOT(ISBLANK(SamplingData[[#This Row],[Candidate 7]]))),(SamplingData[[#This Row],[Total]]+SamplingData[[#This Row],[Winning Candidate]]-SamplingData[[#This Row],[Candidate 7]])/(SamplingData[[#Totals],[Winning Candidate]]-SamplingData[[#Totals],[Candidate 7]]), 0)</f>
        <v>0</v>
      </c>
      <c r="W153" s="100">
        <f>IF(AND(SamplingData[[#This Row],[Total]]&lt;&gt; 0, NOT(ISBLANK(SamplingData[[#This Row],[Candidate 8]]))),(SamplingData[[#This Row],[Total]]+SamplingData[[#This Row],[Winning Candidate]]-SamplingData[[#This Row],[Candidate 8]])/(SamplingData[[#Totals],[Winning Candidate]]-SamplingData[[#Totals],[Candidate 8]]), 0)</f>
        <v>0</v>
      </c>
      <c r="X1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3" s="100">
        <f>MAX(SamplingData[[#This Row],[Error Bound (up) - Max. possible relative overstatement - Losing Candidate]:[Error Bound (up) - Max. possible relative overstatement - Candidate 12]])</f>
        <v>2.8443208393906833E-3</v>
      </c>
      <c r="AC153" s="100">
        <f>IF(SamplingData[[#This Row],[Max Error Bound (up)]] = 0,0,SamplingData[[#This Row],[Max Error Bound (up)]]/SamplingData[[#Totals],[Max Error Bound (up)]])</f>
        <v>1.1543834004897236E-3</v>
      </c>
      <c r="AD153" s="104">
        <f>SUM($AC$5:AC153)</f>
        <v>0.15270124600746077</v>
      </c>
      <c r="AE153" s="100" t="str" cm="1">
        <f t="array" ref="AE153">IF(SamplingData[[#This Row],[up/U Selection Probability]] = 0, "Zero", TEXT(SamplingData[[#This Row],[Lower Range]], REPT("0",LEN('General Info'!$B$42))) &amp; " - " &amp; TEXT(SamplingData[[#This Row],[Upper Range]], REPT("0",LEN('General Info'!$B$42))))</f>
        <v>15155 - 15269</v>
      </c>
      <c r="AF153" s="100">
        <f>SamplingData[[#This Row],[Upper Range]]-SamplingData[[#This Row],[Span]]</f>
        <v>15154.686260697104</v>
      </c>
      <c r="AG153" s="100">
        <f>IF(ISNUMBER('General Info'!$B$42), ((SamplingData[[#This Row],[up/U Selection Probability]]) * 'General Info'!$B$44) - 1, 0)</f>
        <v>114.43834004897235</v>
      </c>
      <c r="AH153" s="100">
        <f>IF(ISNUMBER('General Info'!$B$42), (SamplingData[[#This Row],[Running (cumulative) sum]] * ('General Info'!$B$42 -'General Info'!$B$43 + 1)) + 'General Info'!$B$43 - 1, 0)</f>
        <v>15269.124600746076</v>
      </c>
      <c r="AI153" s="100" t="str">
        <f>IF(ISERROR(MATCH(SamplingData[[#This Row],[Batch by Type (p)]],SelectedPrecincts[Batch Name], 0)), "", INDEX(SelectedPrecincts[Draw], MATCH(SamplingData[[#This Row],[Batch by Type (p)]],SelectedPrecincts[Batch Name], 0)))</f>
        <v/>
      </c>
      <c r="AJ153" s="101">
        <f>IF(COUNTIF(SelectedPrecincts[Batch Name],SamplingData[[#This Row],[Batch by Type (p)]]) &lt;&gt; 0, COUNTIF(SelectedPrecincts[Batch Name],SamplingData[[#This Row],[Batch by Type (p)]]), 0)</f>
        <v>0</v>
      </c>
    </row>
    <row r="154" spans="1:36" ht="15" customHeight="1" x14ac:dyDescent="0.35">
      <c r="A154" s="98" t="s">
        <v>365</v>
      </c>
      <c r="B154" s="98">
        <v>9</v>
      </c>
      <c r="C154" s="98">
        <v>2</v>
      </c>
      <c r="D154" s="93">
        <v>0</v>
      </c>
      <c r="E154" s="93"/>
      <c r="F154" s="93"/>
      <c r="G154" s="97"/>
      <c r="H154" s="97"/>
      <c r="I154" s="93"/>
      <c r="J154" s="93"/>
      <c r="K154" s="93"/>
      <c r="L154" s="93"/>
      <c r="M154" s="93"/>
      <c r="N154" s="98">
        <v>0</v>
      </c>
      <c r="O154" s="98">
        <v>0</v>
      </c>
      <c r="P154" s="99">
        <f>SUM(SamplingData[[#This Row],[Winning Candidate]:[Under Votes]])</f>
        <v>11</v>
      </c>
      <c r="Q154" s="100">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154" s="100">
        <f>IF(AND(SamplingData[[#This Row],[Total]]&lt;&gt; 0, NOT(ISBLANK(SamplingData[[#This Row],[Candidate 3]]))),(SamplingData[[#This Row],[Total]]+SamplingData[[#This Row],[Winning Candidate]]-SamplingData[[#This Row],[Candidate 3]])/(SamplingData[[#Totals],[Winning Candidate]]-SamplingData[[#Totals],[Candidate 3]]), 0)</f>
        <v>1.1289230074508919E-3</v>
      </c>
      <c r="S154" s="100">
        <f>IF(AND(SamplingData[[#This Row],[Total]]&lt;&gt; 0, NOT(ISBLANK(SamplingData[[#This Row],[Candidate 4]]))),(SamplingData[[#This Row],[Total]]+SamplingData[[#This Row],[Winning Candidate]]-SamplingData[[#This Row],[Candidate 4]])/(SamplingData[[#Totals],[Winning Candidate]]-SamplingData[[#Totals],[Candidate 4]]), 0)</f>
        <v>0</v>
      </c>
      <c r="T154" s="100">
        <f>IF(AND(SamplingData[[#This Row],[Total]]&lt;&gt; 0, NOT(ISBLANK(SamplingData[[#This Row],[Candidate 5]]))),(SamplingData[[#This Row],[Total]]+SamplingData[[#This Row],[Winning Candidate]]-SamplingData[[#This Row],[Candidate 5]])/(SamplingData[[#Totals],[Winning Candidate]]-SamplingData[[#Totals],[Candidate 5]]), 0)</f>
        <v>0</v>
      </c>
      <c r="U154" s="100">
        <f>IF(AND(SamplingData[[#This Row],[Total]]&lt;&gt; 0, NOT(ISBLANK(SamplingData[[#This Row],[Candidate 6]]))),(SamplingData[[#This Row],[Total]]+SamplingData[[#This Row],[Losing Candidate]]-SamplingData[[#This Row],[Candidate 6]])/(SamplingData[[#Totals],[Winning Candidate]]-SamplingData[[#Totals],[Candidate 6]]), 0)</f>
        <v>0</v>
      </c>
      <c r="V154" s="100">
        <f>IF(AND(SamplingData[[#This Row],[Total]]&lt;&gt; 0, NOT(ISBLANK(SamplingData[[#This Row],[Candidate 7]]))),(SamplingData[[#This Row],[Total]]+SamplingData[[#This Row],[Winning Candidate]]-SamplingData[[#This Row],[Candidate 7]])/(SamplingData[[#Totals],[Winning Candidate]]-SamplingData[[#Totals],[Candidate 7]]), 0)</f>
        <v>0</v>
      </c>
      <c r="W154" s="100">
        <f>IF(AND(SamplingData[[#This Row],[Total]]&lt;&gt; 0, NOT(ISBLANK(SamplingData[[#This Row],[Candidate 8]]))),(SamplingData[[#This Row],[Total]]+SamplingData[[#This Row],[Winning Candidate]]-SamplingData[[#This Row],[Candidate 8]])/(SamplingData[[#Totals],[Winning Candidate]]-SamplingData[[#Totals],[Candidate 8]]), 0)</f>
        <v>0</v>
      </c>
      <c r="X1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4" s="100">
        <f>MAX(SamplingData[[#This Row],[Error Bound (up) - Max. possible relative overstatement - Losing Candidate]:[Error Bound (up) - Max. possible relative overstatement - Candidate 12]])</f>
        <v>1.1377283357562732E-3</v>
      </c>
      <c r="AC154" s="100">
        <f>IF(SamplingData[[#This Row],[Max Error Bound (up)]] = 0,0,SamplingData[[#This Row],[Max Error Bound (up)]]/SamplingData[[#Totals],[Max Error Bound (up)]])</f>
        <v>4.6175336019588936E-4</v>
      </c>
      <c r="AD154" s="104">
        <f>SUM($AC$5:AC154)</f>
        <v>0.15316299936765665</v>
      </c>
      <c r="AE154" s="100" t="str" cm="1">
        <f t="array" ref="AE154">IF(SamplingData[[#This Row],[up/U Selection Probability]] = 0, "Zero", TEXT(SamplingData[[#This Row],[Lower Range]], REPT("0",LEN('General Info'!$B$42))) &amp; " - " &amp; TEXT(SamplingData[[#This Row],[Upper Range]], REPT("0",LEN('General Info'!$B$42))))</f>
        <v>15270 - 15315</v>
      </c>
      <c r="AF154" s="100">
        <f>SamplingData[[#This Row],[Upper Range]]-SamplingData[[#This Row],[Span]]</f>
        <v>15270.124600746076</v>
      </c>
      <c r="AG154" s="100">
        <f>IF(ISNUMBER('General Info'!$B$42), ((SamplingData[[#This Row],[up/U Selection Probability]]) * 'General Info'!$B$44) - 1, 0)</f>
        <v>45.175336019588933</v>
      </c>
      <c r="AH154" s="100">
        <f>IF(ISNUMBER('General Info'!$B$42), (SamplingData[[#This Row],[Running (cumulative) sum]] * ('General Info'!$B$42 -'General Info'!$B$43 + 1)) + 'General Info'!$B$43 - 1, 0)</f>
        <v>15315.299936765665</v>
      </c>
      <c r="AI154" s="100" t="str">
        <f>IF(ISERROR(MATCH(SamplingData[[#This Row],[Batch by Type (p)]],SelectedPrecincts[Batch Name], 0)), "", INDEX(SelectedPrecincts[Draw], MATCH(SamplingData[[#This Row],[Batch by Type (p)]],SelectedPrecincts[Batch Name], 0)))</f>
        <v/>
      </c>
      <c r="AJ154" s="101">
        <f>IF(COUNTIF(SelectedPrecincts[Batch Name],SamplingData[[#This Row],[Batch by Type (p)]]) &lt;&gt; 0, COUNTIF(SelectedPrecincts[Batch Name],SamplingData[[#This Row],[Batch by Type (p)]]), 0)</f>
        <v>0</v>
      </c>
    </row>
    <row r="155" spans="1:36" ht="15" customHeight="1" x14ac:dyDescent="0.35">
      <c r="A155" s="98" t="s">
        <v>366</v>
      </c>
      <c r="B155" s="98">
        <v>28</v>
      </c>
      <c r="C155" s="98">
        <v>2</v>
      </c>
      <c r="D155" s="93">
        <v>0</v>
      </c>
      <c r="E155" s="93"/>
      <c r="F155" s="93"/>
      <c r="G155" s="97"/>
      <c r="H155" s="97"/>
      <c r="I155" s="93"/>
      <c r="J155" s="93"/>
      <c r="K155" s="93"/>
      <c r="L155" s="93"/>
      <c r="M155" s="93"/>
      <c r="N155" s="98">
        <v>1</v>
      </c>
      <c r="O155" s="98">
        <v>0</v>
      </c>
      <c r="P155" s="99">
        <f>SUM(SamplingData[[#This Row],[Winning Candidate]:[Under Votes]])</f>
        <v>31</v>
      </c>
      <c r="Q155" s="100">
        <f>IF(AND(SamplingData[[#This Row],[Total]]&lt;&gt; 0, NOT(ISBLANK(SamplingData[[#This Row],[Losing Candidate]]))),(SamplingData[[#This Row],[Total]]+SamplingData[[#This Row],[Winning Candidate]]-SamplingData[[#This Row],[Losing Candidate]])/(SamplingData[[#Totals],[Winning Candidate]]-SamplingData[[#Totals],[Losing Candidate]]), 0)</f>
        <v>3.6028063965615319E-3</v>
      </c>
      <c r="R155" s="100">
        <f>IF(AND(SamplingData[[#This Row],[Total]]&lt;&gt; 0, NOT(ISBLANK(SamplingData[[#This Row],[Candidate 3]]))),(SamplingData[[#This Row],[Total]]+SamplingData[[#This Row],[Winning Candidate]]-SamplingData[[#This Row],[Candidate 3]])/(SamplingData[[#Totals],[Winning Candidate]]-SamplingData[[#Totals],[Candidate 3]]), 0)</f>
        <v>3.330322871980131E-3</v>
      </c>
      <c r="S155" s="100">
        <f>IF(AND(SamplingData[[#This Row],[Total]]&lt;&gt; 0, NOT(ISBLANK(SamplingData[[#This Row],[Candidate 4]]))),(SamplingData[[#This Row],[Total]]+SamplingData[[#This Row],[Winning Candidate]]-SamplingData[[#This Row],[Candidate 4]])/(SamplingData[[#Totals],[Winning Candidate]]-SamplingData[[#Totals],[Candidate 4]]), 0)</f>
        <v>0</v>
      </c>
      <c r="T155" s="100">
        <f>IF(AND(SamplingData[[#This Row],[Total]]&lt;&gt; 0, NOT(ISBLANK(SamplingData[[#This Row],[Candidate 5]]))),(SamplingData[[#This Row],[Total]]+SamplingData[[#This Row],[Winning Candidate]]-SamplingData[[#This Row],[Candidate 5]])/(SamplingData[[#Totals],[Winning Candidate]]-SamplingData[[#Totals],[Candidate 5]]), 0)</f>
        <v>0</v>
      </c>
      <c r="U155" s="100">
        <f>IF(AND(SamplingData[[#This Row],[Total]]&lt;&gt; 0, NOT(ISBLANK(SamplingData[[#This Row],[Candidate 6]]))),(SamplingData[[#This Row],[Total]]+SamplingData[[#This Row],[Losing Candidate]]-SamplingData[[#This Row],[Candidate 6]])/(SamplingData[[#Totals],[Winning Candidate]]-SamplingData[[#Totals],[Candidate 6]]), 0)</f>
        <v>0</v>
      </c>
      <c r="V155" s="100">
        <f>IF(AND(SamplingData[[#This Row],[Total]]&lt;&gt; 0, NOT(ISBLANK(SamplingData[[#This Row],[Candidate 7]]))),(SamplingData[[#This Row],[Total]]+SamplingData[[#This Row],[Winning Candidate]]-SamplingData[[#This Row],[Candidate 7]])/(SamplingData[[#Totals],[Winning Candidate]]-SamplingData[[#Totals],[Candidate 7]]), 0)</f>
        <v>0</v>
      </c>
      <c r="W155" s="100">
        <f>IF(AND(SamplingData[[#This Row],[Total]]&lt;&gt; 0, NOT(ISBLANK(SamplingData[[#This Row],[Candidate 8]]))),(SamplingData[[#This Row],[Total]]+SamplingData[[#This Row],[Winning Candidate]]-SamplingData[[#This Row],[Candidate 8]])/(SamplingData[[#Totals],[Winning Candidate]]-SamplingData[[#Totals],[Candidate 8]]), 0)</f>
        <v>0</v>
      </c>
      <c r="X1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5" s="100">
        <f>MAX(SamplingData[[#This Row],[Error Bound (up) - Max. possible relative overstatement - Losing Candidate]:[Error Bound (up) - Max. possible relative overstatement - Candidate 12]])</f>
        <v>3.6028063965615319E-3</v>
      </c>
      <c r="AC155" s="100">
        <f>IF(SamplingData[[#This Row],[Max Error Bound (up)]] = 0,0,SamplingData[[#This Row],[Max Error Bound (up)]]/SamplingData[[#Totals],[Max Error Bound (up)]])</f>
        <v>1.4622189739536497E-3</v>
      </c>
      <c r="AD155" s="104">
        <f>SUM($AC$5:AC155)</f>
        <v>0.1546252183416103</v>
      </c>
      <c r="AE155" s="100" t="str" cm="1">
        <f t="array" ref="AE155">IF(SamplingData[[#This Row],[up/U Selection Probability]] = 0, "Zero", TEXT(SamplingData[[#This Row],[Lower Range]], REPT("0",LEN('General Info'!$B$42))) &amp; " - " &amp; TEXT(SamplingData[[#This Row],[Upper Range]], REPT("0",LEN('General Info'!$B$42))))</f>
        <v>15316 - 15462</v>
      </c>
      <c r="AF155" s="100">
        <f>SamplingData[[#This Row],[Upper Range]]-SamplingData[[#This Row],[Span]]</f>
        <v>15316.299936765667</v>
      </c>
      <c r="AG155" s="100">
        <f>IF(ISNUMBER('General Info'!$B$42), ((SamplingData[[#This Row],[up/U Selection Probability]]) * 'General Info'!$B$44) - 1, 0)</f>
        <v>145.22189739536498</v>
      </c>
      <c r="AH155" s="100">
        <f>IF(ISNUMBER('General Info'!$B$42), (SamplingData[[#This Row],[Running (cumulative) sum]] * ('General Info'!$B$42 -'General Info'!$B$43 + 1)) + 'General Info'!$B$43 - 1, 0)</f>
        <v>15461.521834161031</v>
      </c>
      <c r="AI155" s="100" t="str">
        <f>IF(ISERROR(MATCH(SamplingData[[#This Row],[Batch by Type (p)]],SelectedPrecincts[Batch Name], 0)), "", INDEX(SelectedPrecincts[Draw], MATCH(SamplingData[[#This Row],[Batch by Type (p)]],SelectedPrecincts[Batch Name], 0)))</f>
        <v/>
      </c>
      <c r="AJ155" s="101">
        <f>IF(COUNTIF(SelectedPrecincts[Batch Name],SamplingData[[#This Row],[Batch by Type (p)]]) &lt;&gt; 0, COUNTIF(SelectedPrecincts[Batch Name],SamplingData[[#This Row],[Batch by Type (p)]]), 0)</f>
        <v>0</v>
      </c>
    </row>
    <row r="156" spans="1:36" ht="15" customHeight="1" x14ac:dyDescent="0.35">
      <c r="A156" s="98" t="s">
        <v>367</v>
      </c>
      <c r="B156" s="98">
        <v>13</v>
      </c>
      <c r="C156" s="98">
        <v>0</v>
      </c>
      <c r="D156" s="93">
        <v>2</v>
      </c>
      <c r="E156" s="93"/>
      <c r="F156" s="93"/>
      <c r="G156" s="97"/>
      <c r="H156" s="97"/>
      <c r="I156" s="93"/>
      <c r="J156" s="93"/>
      <c r="K156" s="93"/>
      <c r="L156" s="93"/>
      <c r="M156" s="93"/>
      <c r="N156" s="98">
        <v>0</v>
      </c>
      <c r="O156" s="98">
        <v>0</v>
      </c>
      <c r="P156" s="99">
        <f>SUM(SamplingData[[#This Row],[Winning Candidate]:[Under Votes]])</f>
        <v>15</v>
      </c>
      <c r="Q156" s="100">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156" s="100">
        <f>IF(AND(SamplingData[[#This Row],[Total]]&lt;&gt; 0, NOT(ISBLANK(SamplingData[[#This Row],[Candidate 3]]))),(SamplingData[[#This Row],[Total]]+SamplingData[[#This Row],[Winning Candidate]]-SamplingData[[#This Row],[Candidate 3]])/(SamplingData[[#Totals],[Winning Candidate]]-SamplingData[[#Totals],[Candidate 3]]), 0)</f>
        <v>1.4675999096861595E-3</v>
      </c>
      <c r="S156" s="100">
        <f>IF(AND(SamplingData[[#This Row],[Total]]&lt;&gt; 0, NOT(ISBLANK(SamplingData[[#This Row],[Candidate 4]]))),(SamplingData[[#This Row],[Total]]+SamplingData[[#This Row],[Winning Candidate]]-SamplingData[[#This Row],[Candidate 4]])/(SamplingData[[#Totals],[Winning Candidate]]-SamplingData[[#Totals],[Candidate 4]]), 0)</f>
        <v>0</v>
      </c>
      <c r="T156" s="100">
        <f>IF(AND(SamplingData[[#This Row],[Total]]&lt;&gt; 0, NOT(ISBLANK(SamplingData[[#This Row],[Candidate 5]]))),(SamplingData[[#This Row],[Total]]+SamplingData[[#This Row],[Winning Candidate]]-SamplingData[[#This Row],[Candidate 5]])/(SamplingData[[#Totals],[Winning Candidate]]-SamplingData[[#Totals],[Candidate 5]]), 0)</f>
        <v>0</v>
      </c>
      <c r="U156" s="100">
        <f>IF(AND(SamplingData[[#This Row],[Total]]&lt;&gt; 0, NOT(ISBLANK(SamplingData[[#This Row],[Candidate 6]]))),(SamplingData[[#This Row],[Total]]+SamplingData[[#This Row],[Losing Candidate]]-SamplingData[[#This Row],[Candidate 6]])/(SamplingData[[#Totals],[Winning Candidate]]-SamplingData[[#Totals],[Candidate 6]]), 0)</f>
        <v>0</v>
      </c>
      <c r="V156" s="100">
        <f>IF(AND(SamplingData[[#This Row],[Total]]&lt;&gt; 0, NOT(ISBLANK(SamplingData[[#This Row],[Candidate 7]]))),(SamplingData[[#This Row],[Total]]+SamplingData[[#This Row],[Winning Candidate]]-SamplingData[[#This Row],[Candidate 7]])/(SamplingData[[#Totals],[Winning Candidate]]-SamplingData[[#Totals],[Candidate 7]]), 0)</f>
        <v>0</v>
      </c>
      <c r="W156" s="100">
        <f>IF(AND(SamplingData[[#This Row],[Total]]&lt;&gt; 0, NOT(ISBLANK(SamplingData[[#This Row],[Candidate 8]]))),(SamplingData[[#This Row],[Total]]+SamplingData[[#This Row],[Winning Candidate]]-SamplingData[[#This Row],[Candidate 8]])/(SamplingData[[#Totals],[Winning Candidate]]-SamplingData[[#Totals],[Candidate 8]]), 0)</f>
        <v>0</v>
      </c>
      <c r="X1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6" s="100">
        <f>MAX(SamplingData[[#This Row],[Error Bound (up) - Max. possible relative overstatement - Losing Candidate]:[Error Bound (up) - Max. possible relative overstatement - Candidate 12]])</f>
        <v>1.7697996333986474E-3</v>
      </c>
      <c r="AC156" s="100">
        <f>IF(SamplingData[[#This Row],[Max Error Bound (up)]] = 0,0,SamplingData[[#This Row],[Max Error Bound (up)]]/SamplingData[[#Totals],[Max Error Bound (up)]])</f>
        <v>7.1828300474916125E-4</v>
      </c>
      <c r="AD156" s="104">
        <f>SUM($AC$5:AC156)</f>
        <v>0.15534350134635946</v>
      </c>
      <c r="AE156" s="100" t="str" cm="1">
        <f t="array" ref="AE156">IF(SamplingData[[#This Row],[up/U Selection Probability]] = 0, "Zero", TEXT(SamplingData[[#This Row],[Lower Range]], REPT("0",LEN('General Info'!$B$42))) &amp; " - " &amp; TEXT(SamplingData[[#This Row],[Upper Range]], REPT("0",LEN('General Info'!$B$42))))</f>
        <v>15463 - 15533</v>
      </c>
      <c r="AF156" s="100">
        <f>SamplingData[[#This Row],[Upper Range]]-SamplingData[[#This Row],[Span]]</f>
        <v>15462.521834161031</v>
      </c>
      <c r="AG156" s="100">
        <f>IF(ISNUMBER('General Info'!$B$42), ((SamplingData[[#This Row],[up/U Selection Probability]]) * 'General Info'!$B$44) - 1, 0)</f>
        <v>70.828300474916119</v>
      </c>
      <c r="AH156" s="100">
        <f>IF(ISNUMBER('General Info'!$B$42), (SamplingData[[#This Row],[Running (cumulative) sum]] * ('General Info'!$B$42 -'General Info'!$B$43 + 1)) + 'General Info'!$B$43 - 1, 0)</f>
        <v>15533.350134635946</v>
      </c>
      <c r="AI156" s="100" t="str">
        <f>IF(ISERROR(MATCH(SamplingData[[#This Row],[Batch by Type (p)]],SelectedPrecincts[Batch Name], 0)), "", INDEX(SelectedPrecincts[Draw], MATCH(SamplingData[[#This Row],[Batch by Type (p)]],SelectedPrecincts[Batch Name], 0)))</f>
        <v/>
      </c>
      <c r="AJ156" s="101">
        <f>IF(COUNTIF(SelectedPrecincts[Batch Name],SamplingData[[#This Row],[Batch by Type (p)]]) &lt;&gt; 0, COUNTIF(SelectedPrecincts[Batch Name],SamplingData[[#This Row],[Batch by Type (p)]]), 0)</f>
        <v>0</v>
      </c>
    </row>
    <row r="157" spans="1:36" ht="15" customHeight="1" x14ac:dyDescent="0.35">
      <c r="A157" s="98" t="s">
        <v>368</v>
      </c>
      <c r="B157" s="98">
        <v>18</v>
      </c>
      <c r="C157" s="98">
        <v>6</v>
      </c>
      <c r="D157" s="93">
        <v>0</v>
      </c>
      <c r="E157" s="93"/>
      <c r="F157" s="93"/>
      <c r="G157" s="97"/>
      <c r="H157" s="97"/>
      <c r="I157" s="93"/>
      <c r="J157" s="93"/>
      <c r="K157" s="93"/>
      <c r="L157" s="93"/>
      <c r="M157" s="93"/>
      <c r="N157" s="98">
        <v>0</v>
      </c>
      <c r="O157" s="98">
        <v>1</v>
      </c>
      <c r="P157" s="99">
        <f>SUM(SamplingData[[#This Row],[Winning Candidate]:[Under Votes]])</f>
        <v>25</v>
      </c>
      <c r="Q157" s="100">
        <f>IF(AND(SamplingData[[#This Row],[Total]]&lt;&gt; 0, NOT(ISBLANK(SamplingData[[#This Row],[Losing Candidate]]))),(SamplingData[[#This Row],[Total]]+SamplingData[[#This Row],[Winning Candidate]]-SamplingData[[#This Row],[Losing Candidate]])/(SamplingData[[#Totals],[Winning Candidate]]-SamplingData[[#Totals],[Losing Candidate]]), 0)</f>
        <v>2.338663801276784E-3</v>
      </c>
      <c r="R157" s="100">
        <f>IF(AND(SamplingData[[#This Row],[Total]]&lt;&gt; 0, NOT(ISBLANK(SamplingData[[#This Row],[Candidate 3]]))),(SamplingData[[#This Row],[Total]]+SamplingData[[#This Row],[Winning Candidate]]-SamplingData[[#This Row],[Candidate 3]])/(SamplingData[[#Totals],[Winning Candidate]]-SamplingData[[#Totals],[Candidate 3]]), 0)</f>
        <v>2.4271844660194173E-3</v>
      </c>
      <c r="S157" s="100">
        <f>IF(AND(SamplingData[[#This Row],[Total]]&lt;&gt; 0, NOT(ISBLANK(SamplingData[[#This Row],[Candidate 4]]))),(SamplingData[[#This Row],[Total]]+SamplingData[[#This Row],[Winning Candidate]]-SamplingData[[#This Row],[Candidate 4]])/(SamplingData[[#Totals],[Winning Candidate]]-SamplingData[[#Totals],[Candidate 4]]), 0)</f>
        <v>0</v>
      </c>
      <c r="T157" s="100">
        <f>IF(AND(SamplingData[[#This Row],[Total]]&lt;&gt; 0, NOT(ISBLANK(SamplingData[[#This Row],[Candidate 5]]))),(SamplingData[[#This Row],[Total]]+SamplingData[[#This Row],[Winning Candidate]]-SamplingData[[#This Row],[Candidate 5]])/(SamplingData[[#Totals],[Winning Candidate]]-SamplingData[[#Totals],[Candidate 5]]), 0)</f>
        <v>0</v>
      </c>
      <c r="U157" s="100">
        <f>IF(AND(SamplingData[[#This Row],[Total]]&lt;&gt; 0, NOT(ISBLANK(SamplingData[[#This Row],[Candidate 6]]))),(SamplingData[[#This Row],[Total]]+SamplingData[[#This Row],[Losing Candidate]]-SamplingData[[#This Row],[Candidate 6]])/(SamplingData[[#Totals],[Winning Candidate]]-SamplingData[[#Totals],[Candidate 6]]), 0)</f>
        <v>0</v>
      </c>
      <c r="V157" s="100">
        <f>IF(AND(SamplingData[[#This Row],[Total]]&lt;&gt; 0, NOT(ISBLANK(SamplingData[[#This Row],[Candidate 7]]))),(SamplingData[[#This Row],[Total]]+SamplingData[[#This Row],[Winning Candidate]]-SamplingData[[#This Row],[Candidate 7]])/(SamplingData[[#Totals],[Winning Candidate]]-SamplingData[[#Totals],[Candidate 7]]), 0)</f>
        <v>0</v>
      </c>
      <c r="W157" s="100">
        <f>IF(AND(SamplingData[[#This Row],[Total]]&lt;&gt; 0, NOT(ISBLANK(SamplingData[[#This Row],[Candidate 8]]))),(SamplingData[[#This Row],[Total]]+SamplingData[[#This Row],[Winning Candidate]]-SamplingData[[#This Row],[Candidate 8]])/(SamplingData[[#Totals],[Winning Candidate]]-SamplingData[[#Totals],[Candidate 8]]), 0)</f>
        <v>0</v>
      </c>
      <c r="X1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7" s="100">
        <f>MAX(SamplingData[[#This Row],[Error Bound (up) - Max. possible relative overstatement - Losing Candidate]:[Error Bound (up) - Max. possible relative overstatement - Candidate 12]])</f>
        <v>2.4271844660194173E-3</v>
      </c>
      <c r="AC157" s="100">
        <f>IF(SamplingData[[#This Row],[Max Error Bound (up)]] = 0,0,SamplingData[[#This Row],[Max Error Bound (up)]]/SamplingData[[#Totals],[Max Error Bound (up)]])</f>
        <v>9.8508628797993074E-4</v>
      </c>
      <c r="AD157" s="104">
        <f>SUM($AC$5:AC157)</f>
        <v>0.15632858763433941</v>
      </c>
      <c r="AE157" s="100" t="str" cm="1">
        <f t="array" ref="AE157">IF(SamplingData[[#This Row],[up/U Selection Probability]] = 0, "Zero", TEXT(SamplingData[[#This Row],[Lower Range]], REPT("0",LEN('General Info'!$B$42))) &amp; " - " &amp; TEXT(SamplingData[[#This Row],[Upper Range]], REPT("0",LEN('General Info'!$B$42))))</f>
        <v>15534 - 15632</v>
      </c>
      <c r="AF157" s="100">
        <f>SamplingData[[#This Row],[Upper Range]]-SamplingData[[#This Row],[Span]]</f>
        <v>15534.350134635946</v>
      </c>
      <c r="AG157" s="100">
        <f>IF(ISNUMBER('General Info'!$B$42), ((SamplingData[[#This Row],[up/U Selection Probability]]) * 'General Info'!$B$44) - 1, 0)</f>
        <v>97.508628797993069</v>
      </c>
      <c r="AH157" s="100">
        <f>IF(ISNUMBER('General Info'!$B$42), (SamplingData[[#This Row],[Running (cumulative) sum]] * ('General Info'!$B$42 -'General Info'!$B$43 + 1)) + 'General Info'!$B$43 - 1, 0)</f>
        <v>15631.85876343394</v>
      </c>
      <c r="AI157" s="100" t="str">
        <f>IF(ISERROR(MATCH(SamplingData[[#This Row],[Batch by Type (p)]],SelectedPrecincts[Batch Name], 0)), "", INDEX(SelectedPrecincts[Draw], MATCH(SamplingData[[#This Row],[Batch by Type (p)]],SelectedPrecincts[Batch Name], 0)))</f>
        <v/>
      </c>
      <c r="AJ157" s="101">
        <f>IF(COUNTIF(SelectedPrecincts[Batch Name],SamplingData[[#This Row],[Batch by Type (p)]]) &lt;&gt; 0, COUNTIF(SelectedPrecincts[Batch Name],SamplingData[[#This Row],[Batch by Type (p)]]), 0)</f>
        <v>0</v>
      </c>
    </row>
    <row r="158" spans="1:36" ht="15" customHeight="1" x14ac:dyDescent="0.35">
      <c r="A158" s="98" t="s">
        <v>369</v>
      </c>
      <c r="B158" s="98">
        <v>13</v>
      </c>
      <c r="C158" s="98">
        <v>4</v>
      </c>
      <c r="D158" s="93">
        <v>0</v>
      </c>
      <c r="E158" s="93"/>
      <c r="F158" s="93"/>
      <c r="G158" s="97"/>
      <c r="H158" s="97"/>
      <c r="I158" s="93"/>
      <c r="J158" s="93"/>
      <c r="K158" s="93"/>
      <c r="L158" s="93"/>
      <c r="M158" s="93"/>
      <c r="N158" s="98">
        <v>0</v>
      </c>
      <c r="O158" s="98">
        <v>0</v>
      </c>
      <c r="P158" s="99">
        <f>SUM(SamplingData[[#This Row],[Winning Candidate]:[Under Votes]])</f>
        <v>17</v>
      </c>
      <c r="Q158" s="100">
        <f>IF(AND(SamplingData[[#This Row],[Total]]&lt;&gt; 0, NOT(ISBLANK(SamplingData[[#This Row],[Losing Candidate]]))),(SamplingData[[#This Row],[Total]]+SamplingData[[#This Row],[Winning Candidate]]-SamplingData[[#This Row],[Losing Candidate]])/(SamplingData[[#Totals],[Winning Candidate]]-SamplingData[[#Totals],[Losing Candidate]]), 0)</f>
        <v>1.6433853738701725E-3</v>
      </c>
      <c r="R158" s="100">
        <f>IF(AND(SamplingData[[#This Row],[Total]]&lt;&gt; 0, NOT(ISBLANK(SamplingData[[#This Row],[Candidate 3]]))),(SamplingData[[#This Row],[Total]]+SamplingData[[#This Row],[Winning Candidate]]-SamplingData[[#This Row],[Candidate 3]])/(SamplingData[[#Totals],[Winning Candidate]]-SamplingData[[#Totals],[Candidate 3]]), 0)</f>
        <v>1.6933845111763378E-3</v>
      </c>
      <c r="S158" s="100">
        <f>IF(AND(SamplingData[[#This Row],[Total]]&lt;&gt; 0, NOT(ISBLANK(SamplingData[[#This Row],[Candidate 4]]))),(SamplingData[[#This Row],[Total]]+SamplingData[[#This Row],[Winning Candidate]]-SamplingData[[#This Row],[Candidate 4]])/(SamplingData[[#Totals],[Winning Candidate]]-SamplingData[[#Totals],[Candidate 4]]), 0)</f>
        <v>0</v>
      </c>
      <c r="T158" s="100">
        <f>IF(AND(SamplingData[[#This Row],[Total]]&lt;&gt; 0, NOT(ISBLANK(SamplingData[[#This Row],[Candidate 5]]))),(SamplingData[[#This Row],[Total]]+SamplingData[[#This Row],[Winning Candidate]]-SamplingData[[#This Row],[Candidate 5]])/(SamplingData[[#Totals],[Winning Candidate]]-SamplingData[[#Totals],[Candidate 5]]), 0)</f>
        <v>0</v>
      </c>
      <c r="U158" s="100">
        <f>IF(AND(SamplingData[[#This Row],[Total]]&lt;&gt; 0, NOT(ISBLANK(SamplingData[[#This Row],[Candidate 6]]))),(SamplingData[[#This Row],[Total]]+SamplingData[[#This Row],[Losing Candidate]]-SamplingData[[#This Row],[Candidate 6]])/(SamplingData[[#Totals],[Winning Candidate]]-SamplingData[[#Totals],[Candidate 6]]), 0)</f>
        <v>0</v>
      </c>
      <c r="V158" s="100">
        <f>IF(AND(SamplingData[[#This Row],[Total]]&lt;&gt; 0, NOT(ISBLANK(SamplingData[[#This Row],[Candidate 7]]))),(SamplingData[[#This Row],[Total]]+SamplingData[[#This Row],[Winning Candidate]]-SamplingData[[#This Row],[Candidate 7]])/(SamplingData[[#Totals],[Winning Candidate]]-SamplingData[[#Totals],[Candidate 7]]), 0)</f>
        <v>0</v>
      </c>
      <c r="W158" s="100">
        <f>IF(AND(SamplingData[[#This Row],[Total]]&lt;&gt; 0, NOT(ISBLANK(SamplingData[[#This Row],[Candidate 8]]))),(SamplingData[[#This Row],[Total]]+SamplingData[[#This Row],[Winning Candidate]]-SamplingData[[#This Row],[Candidate 8]])/(SamplingData[[#Totals],[Winning Candidate]]-SamplingData[[#Totals],[Candidate 8]]), 0)</f>
        <v>0</v>
      </c>
      <c r="X1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8" s="100">
        <f>MAX(SamplingData[[#This Row],[Error Bound (up) - Max. possible relative overstatement - Losing Candidate]:[Error Bound (up) - Max. possible relative overstatement - Candidate 12]])</f>
        <v>1.6933845111763378E-3</v>
      </c>
      <c r="AC158" s="100">
        <f>IF(SamplingData[[#This Row],[Max Error Bound (up)]] = 0,0,SamplingData[[#This Row],[Max Error Bound (up)]]/SamplingData[[#Totals],[Max Error Bound (up)]])</f>
        <v>6.8726950324181216E-4</v>
      </c>
      <c r="AD158" s="104">
        <f>SUM($AC$5:AC158)</f>
        <v>0.15701585713758121</v>
      </c>
      <c r="AE158" s="100" t="str" cm="1">
        <f t="array" ref="AE158">IF(SamplingData[[#This Row],[up/U Selection Probability]] = 0, "Zero", TEXT(SamplingData[[#This Row],[Lower Range]], REPT("0",LEN('General Info'!$B$42))) &amp; " - " &amp; TEXT(SamplingData[[#This Row],[Upper Range]], REPT("0",LEN('General Info'!$B$42))))</f>
        <v>15633 - 15701</v>
      </c>
      <c r="AF158" s="100">
        <f>SamplingData[[#This Row],[Upper Range]]-SamplingData[[#This Row],[Span]]</f>
        <v>15632.85876343394</v>
      </c>
      <c r="AG158" s="100">
        <f>IF(ISNUMBER('General Info'!$B$42), ((SamplingData[[#This Row],[up/U Selection Probability]]) * 'General Info'!$B$44) - 1, 0)</f>
        <v>67.726950324181217</v>
      </c>
      <c r="AH158" s="100">
        <f>IF(ISNUMBER('General Info'!$B$42), (SamplingData[[#This Row],[Running (cumulative) sum]] * ('General Info'!$B$42 -'General Info'!$B$43 + 1)) + 'General Info'!$B$43 - 1, 0)</f>
        <v>15700.585713758121</v>
      </c>
      <c r="AI158" s="100" t="str">
        <f>IF(ISERROR(MATCH(SamplingData[[#This Row],[Batch by Type (p)]],SelectedPrecincts[Batch Name], 0)), "", INDEX(SelectedPrecincts[Draw], MATCH(SamplingData[[#This Row],[Batch by Type (p)]],SelectedPrecincts[Batch Name], 0)))</f>
        <v/>
      </c>
      <c r="AJ158" s="101">
        <f>IF(COUNTIF(SelectedPrecincts[Batch Name],SamplingData[[#This Row],[Batch by Type (p)]]) &lt;&gt; 0, COUNTIF(SelectedPrecincts[Batch Name],SamplingData[[#This Row],[Batch by Type (p)]]), 0)</f>
        <v>0</v>
      </c>
    </row>
    <row r="159" spans="1:36" ht="15" customHeight="1" x14ac:dyDescent="0.35">
      <c r="A159" s="98" t="s">
        <v>370</v>
      </c>
      <c r="B159" s="98">
        <v>0</v>
      </c>
      <c r="C159" s="98">
        <v>0</v>
      </c>
      <c r="D159" s="93">
        <v>0</v>
      </c>
      <c r="E159" s="93"/>
      <c r="F159" s="93"/>
      <c r="G159" s="97"/>
      <c r="H159" s="97"/>
      <c r="I159" s="93"/>
      <c r="J159" s="93"/>
      <c r="K159" s="93"/>
      <c r="L159" s="93"/>
      <c r="M159" s="93"/>
      <c r="N159" s="98">
        <v>0</v>
      </c>
      <c r="O159" s="98">
        <v>0</v>
      </c>
      <c r="P159" s="99">
        <f>SUM(SamplingData[[#This Row],[Winning Candidate]:[Under Votes]])</f>
        <v>0</v>
      </c>
      <c r="Q159" s="100">
        <f>IF(AND(SamplingData[[#This Row],[Total]]&lt;&gt; 0, NOT(ISBLANK(SamplingData[[#This Row],[Losing Candidate]]))),(SamplingData[[#This Row],[Total]]+SamplingData[[#This Row],[Winning Candidate]]-SamplingData[[#This Row],[Losing Candidate]])/(SamplingData[[#Totals],[Winning Candidate]]-SamplingData[[#Totals],[Losing Candidate]]), 0)</f>
        <v>0</v>
      </c>
      <c r="R159" s="100">
        <f>IF(AND(SamplingData[[#This Row],[Total]]&lt;&gt; 0, NOT(ISBLANK(SamplingData[[#This Row],[Candidate 3]]))),(SamplingData[[#This Row],[Total]]+SamplingData[[#This Row],[Winning Candidate]]-SamplingData[[#This Row],[Candidate 3]])/(SamplingData[[#Totals],[Winning Candidate]]-SamplingData[[#Totals],[Candidate 3]]), 0)</f>
        <v>0</v>
      </c>
      <c r="S159" s="100">
        <f>IF(AND(SamplingData[[#This Row],[Total]]&lt;&gt; 0, NOT(ISBLANK(SamplingData[[#This Row],[Candidate 4]]))),(SamplingData[[#This Row],[Total]]+SamplingData[[#This Row],[Winning Candidate]]-SamplingData[[#This Row],[Candidate 4]])/(SamplingData[[#Totals],[Winning Candidate]]-SamplingData[[#Totals],[Candidate 4]]), 0)</f>
        <v>0</v>
      </c>
      <c r="T159" s="100">
        <f>IF(AND(SamplingData[[#This Row],[Total]]&lt;&gt; 0, NOT(ISBLANK(SamplingData[[#This Row],[Candidate 5]]))),(SamplingData[[#This Row],[Total]]+SamplingData[[#This Row],[Winning Candidate]]-SamplingData[[#This Row],[Candidate 5]])/(SamplingData[[#Totals],[Winning Candidate]]-SamplingData[[#Totals],[Candidate 5]]), 0)</f>
        <v>0</v>
      </c>
      <c r="U159" s="100">
        <f>IF(AND(SamplingData[[#This Row],[Total]]&lt;&gt; 0, NOT(ISBLANK(SamplingData[[#This Row],[Candidate 6]]))),(SamplingData[[#This Row],[Total]]+SamplingData[[#This Row],[Losing Candidate]]-SamplingData[[#This Row],[Candidate 6]])/(SamplingData[[#Totals],[Winning Candidate]]-SamplingData[[#Totals],[Candidate 6]]), 0)</f>
        <v>0</v>
      </c>
      <c r="V159" s="100">
        <f>IF(AND(SamplingData[[#This Row],[Total]]&lt;&gt; 0, NOT(ISBLANK(SamplingData[[#This Row],[Candidate 7]]))),(SamplingData[[#This Row],[Total]]+SamplingData[[#This Row],[Winning Candidate]]-SamplingData[[#This Row],[Candidate 7]])/(SamplingData[[#Totals],[Winning Candidate]]-SamplingData[[#Totals],[Candidate 7]]), 0)</f>
        <v>0</v>
      </c>
      <c r="W159" s="100">
        <f>IF(AND(SamplingData[[#This Row],[Total]]&lt;&gt; 0, NOT(ISBLANK(SamplingData[[#This Row],[Candidate 8]]))),(SamplingData[[#This Row],[Total]]+SamplingData[[#This Row],[Winning Candidate]]-SamplingData[[#This Row],[Candidate 8]])/(SamplingData[[#Totals],[Winning Candidate]]-SamplingData[[#Totals],[Candidate 8]]), 0)</f>
        <v>0</v>
      </c>
      <c r="X1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9" s="100">
        <f>MAX(SamplingData[[#This Row],[Error Bound (up) - Max. possible relative overstatement - Losing Candidate]:[Error Bound (up) - Max. possible relative overstatement - Candidate 12]])</f>
        <v>0</v>
      </c>
      <c r="AC159" s="100">
        <f>IF(SamplingData[[#This Row],[Max Error Bound (up)]] = 0,0,SamplingData[[#This Row],[Max Error Bound (up)]]/SamplingData[[#Totals],[Max Error Bound (up)]])</f>
        <v>0</v>
      </c>
      <c r="AD159" s="104">
        <f>SUM($AC$5:AC159)</f>
        <v>0.15701585713758121</v>
      </c>
      <c r="AE159" s="100" t="str" cm="1">
        <f t="array" ref="AE159">IF(SamplingData[[#This Row],[up/U Selection Probability]] = 0, "Zero", TEXT(SamplingData[[#This Row],[Lower Range]], REPT("0",LEN('General Info'!$B$42))) &amp; " - " &amp; TEXT(SamplingData[[#This Row],[Upper Range]], REPT("0",LEN('General Info'!$B$42))))</f>
        <v>Zero</v>
      </c>
      <c r="AF159" s="100">
        <f>SamplingData[[#This Row],[Upper Range]]-SamplingData[[#This Row],[Span]]</f>
        <v>15701.585713758121</v>
      </c>
      <c r="AG159" s="100">
        <f>IF(ISNUMBER('General Info'!$B$42), ((SamplingData[[#This Row],[up/U Selection Probability]]) * 'General Info'!$B$44) - 1, 0)</f>
        <v>-1</v>
      </c>
      <c r="AH159" s="100">
        <f>IF(ISNUMBER('General Info'!$B$42), (SamplingData[[#This Row],[Running (cumulative) sum]] * ('General Info'!$B$42 -'General Info'!$B$43 + 1)) + 'General Info'!$B$43 - 1, 0)</f>
        <v>15700.585713758121</v>
      </c>
      <c r="AI159" s="100" t="str">
        <f>IF(ISERROR(MATCH(SamplingData[[#This Row],[Batch by Type (p)]],SelectedPrecincts[Batch Name], 0)), "", INDEX(SelectedPrecincts[Draw], MATCH(SamplingData[[#This Row],[Batch by Type (p)]],SelectedPrecincts[Batch Name], 0)))</f>
        <v/>
      </c>
      <c r="AJ159" s="101">
        <f>IF(COUNTIF(SelectedPrecincts[Batch Name],SamplingData[[#This Row],[Batch by Type (p)]]) &lt;&gt; 0, COUNTIF(SelectedPrecincts[Batch Name],SamplingData[[#This Row],[Batch by Type (p)]]), 0)</f>
        <v>0</v>
      </c>
    </row>
    <row r="160" spans="1:36" ht="15" customHeight="1" x14ac:dyDescent="0.35">
      <c r="A160" s="98" t="s">
        <v>371</v>
      </c>
      <c r="B160" s="98">
        <v>22</v>
      </c>
      <c r="C160" s="98">
        <v>0</v>
      </c>
      <c r="D160" s="93">
        <v>0</v>
      </c>
      <c r="E160" s="93"/>
      <c r="F160" s="93"/>
      <c r="G160" s="97"/>
      <c r="H160" s="97"/>
      <c r="I160" s="93"/>
      <c r="J160" s="93"/>
      <c r="K160" s="93"/>
      <c r="L160" s="93"/>
      <c r="M160" s="93"/>
      <c r="N160" s="98">
        <v>0</v>
      </c>
      <c r="O160" s="98">
        <v>0</v>
      </c>
      <c r="P160" s="99">
        <f>SUM(SamplingData[[#This Row],[Winning Candidate]:[Under Votes]])</f>
        <v>22</v>
      </c>
      <c r="Q160" s="100">
        <f>IF(AND(SamplingData[[#This Row],[Total]]&lt;&gt; 0, NOT(ISBLANK(SamplingData[[#This Row],[Losing Candidate]]))),(SamplingData[[#This Row],[Total]]+SamplingData[[#This Row],[Winning Candidate]]-SamplingData[[#This Row],[Losing Candidate]])/(SamplingData[[#Totals],[Winning Candidate]]-SamplingData[[#Totals],[Losing Candidate]]), 0)</f>
        <v>2.7811137096264457E-3</v>
      </c>
      <c r="R160" s="100">
        <f>IF(AND(SamplingData[[#This Row],[Total]]&lt;&gt; 0, NOT(ISBLANK(SamplingData[[#This Row],[Candidate 3]]))),(SamplingData[[#This Row],[Total]]+SamplingData[[#This Row],[Winning Candidate]]-SamplingData[[#This Row],[Candidate 3]])/(SamplingData[[#Totals],[Winning Candidate]]-SamplingData[[#Totals],[Candidate 3]]), 0)</f>
        <v>2.4836306163919619E-3</v>
      </c>
      <c r="S160" s="100">
        <f>IF(AND(SamplingData[[#This Row],[Total]]&lt;&gt; 0, NOT(ISBLANK(SamplingData[[#This Row],[Candidate 4]]))),(SamplingData[[#This Row],[Total]]+SamplingData[[#This Row],[Winning Candidate]]-SamplingData[[#This Row],[Candidate 4]])/(SamplingData[[#Totals],[Winning Candidate]]-SamplingData[[#Totals],[Candidate 4]]), 0)</f>
        <v>0</v>
      </c>
      <c r="T160" s="100">
        <f>IF(AND(SamplingData[[#This Row],[Total]]&lt;&gt; 0, NOT(ISBLANK(SamplingData[[#This Row],[Candidate 5]]))),(SamplingData[[#This Row],[Total]]+SamplingData[[#This Row],[Winning Candidate]]-SamplingData[[#This Row],[Candidate 5]])/(SamplingData[[#Totals],[Winning Candidate]]-SamplingData[[#Totals],[Candidate 5]]), 0)</f>
        <v>0</v>
      </c>
      <c r="U160" s="100">
        <f>IF(AND(SamplingData[[#This Row],[Total]]&lt;&gt; 0, NOT(ISBLANK(SamplingData[[#This Row],[Candidate 6]]))),(SamplingData[[#This Row],[Total]]+SamplingData[[#This Row],[Losing Candidate]]-SamplingData[[#This Row],[Candidate 6]])/(SamplingData[[#Totals],[Winning Candidate]]-SamplingData[[#Totals],[Candidate 6]]), 0)</f>
        <v>0</v>
      </c>
      <c r="V160" s="100">
        <f>IF(AND(SamplingData[[#This Row],[Total]]&lt;&gt; 0, NOT(ISBLANK(SamplingData[[#This Row],[Candidate 7]]))),(SamplingData[[#This Row],[Total]]+SamplingData[[#This Row],[Winning Candidate]]-SamplingData[[#This Row],[Candidate 7]])/(SamplingData[[#Totals],[Winning Candidate]]-SamplingData[[#Totals],[Candidate 7]]), 0)</f>
        <v>0</v>
      </c>
      <c r="W160" s="100">
        <f>IF(AND(SamplingData[[#This Row],[Total]]&lt;&gt; 0, NOT(ISBLANK(SamplingData[[#This Row],[Candidate 8]]))),(SamplingData[[#This Row],[Total]]+SamplingData[[#This Row],[Winning Candidate]]-SamplingData[[#This Row],[Candidate 8]])/(SamplingData[[#Totals],[Winning Candidate]]-SamplingData[[#Totals],[Candidate 8]]), 0)</f>
        <v>0</v>
      </c>
      <c r="X1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0" s="100">
        <f>MAX(SamplingData[[#This Row],[Error Bound (up) - Max. possible relative overstatement - Losing Candidate]:[Error Bound (up) - Max. possible relative overstatement - Candidate 12]])</f>
        <v>2.7811137096264457E-3</v>
      </c>
      <c r="AC160" s="100">
        <f>IF(SamplingData[[#This Row],[Max Error Bound (up)]] = 0,0,SamplingData[[#This Row],[Max Error Bound (up)]]/SamplingData[[#Totals],[Max Error Bound (up)]])</f>
        <v>1.1287304360343962E-3</v>
      </c>
      <c r="AD160" s="104">
        <f>SUM($AC$5:AC160)</f>
        <v>0.1581445875736156</v>
      </c>
      <c r="AE160" s="100" t="str" cm="1">
        <f t="array" ref="AE160">IF(SamplingData[[#This Row],[up/U Selection Probability]] = 0, "Zero", TEXT(SamplingData[[#This Row],[Lower Range]], REPT("0",LEN('General Info'!$B$42))) &amp; " - " &amp; TEXT(SamplingData[[#This Row],[Upper Range]], REPT("0",LEN('General Info'!$B$42))))</f>
        <v>15702 - 15813</v>
      </c>
      <c r="AF160" s="100">
        <f>SamplingData[[#This Row],[Upper Range]]-SamplingData[[#This Row],[Span]]</f>
        <v>15701.585713758121</v>
      </c>
      <c r="AG160" s="100">
        <f>IF(ISNUMBER('General Info'!$B$42), ((SamplingData[[#This Row],[up/U Selection Probability]]) * 'General Info'!$B$44) - 1, 0)</f>
        <v>111.87304360343961</v>
      </c>
      <c r="AH160" s="100">
        <f>IF(ISNUMBER('General Info'!$B$42), (SamplingData[[#This Row],[Running (cumulative) sum]] * ('General Info'!$B$42 -'General Info'!$B$43 + 1)) + 'General Info'!$B$43 - 1, 0)</f>
        <v>15813.458757361561</v>
      </c>
      <c r="AI160" s="100" t="str">
        <f>IF(ISERROR(MATCH(SamplingData[[#This Row],[Batch by Type (p)]],SelectedPrecincts[Batch Name], 0)), "", INDEX(SelectedPrecincts[Draw], MATCH(SamplingData[[#This Row],[Batch by Type (p)]],SelectedPrecincts[Batch Name], 0)))</f>
        <v/>
      </c>
      <c r="AJ160" s="101">
        <f>IF(COUNTIF(SelectedPrecincts[Batch Name],SamplingData[[#This Row],[Batch by Type (p)]]) &lt;&gt; 0, COUNTIF(SelectedPrecincts[Batch Name],SamplingData[[#This Row],[Batch by Type (p)]]), 0)</f>
        <v>0</v>
      </c>
    </row>
    <row r="161" spans="1:36" ht="15" customHeight="1" x14ac:dyDescent="0.35">
      <c r="A161" s="98" t="s">
        <v>372</v>
      </c>
      <c r="B161" s="98">
        <v>7</v>
      </c>
      <c r="C161" s="98">
        <v>0</v>
      </c>
      <c r="D161" s="93">
        <v>4</v>
      </c>
      <c r="E161" s="93"/>
      <c r="F161" s="93"/>
      <c r="G161" s="97"/>
      <c r="H161" s="97"/>
      <c r="I161" s="93"/>
      <c r="J161" s="93"/>
      <c r="K161" s="93"/>
      <c r="L161" s="93"/>
      <c r="M161" s="93"/>
      <c r="N161" s="98">
        <v>0</v>
      </c>
      <c r="O161" s="98">
        <v>0</v>
      </c>
      <c r="P161" s="99">
        <f>SUM(SamplingData[[#This Row],[Winning Candidate]:[Under Votes]])</f>
        <v>11</v>
      </c>
      <c r="Q161" s="100">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161" s="100">
        <f>IF(AND(SamplingData[[#This Row],[Total]]&lt;&gt; 0, NOT(ISBLANK(SamplingData[[#This Row],[Candidate 3]]))),(SamplingData[[#This Row],[Total]]+SamplingData[[#This Row],[Winning Candidate]]-SamplingData[[#This Row],[Candidate 3]])/(SamplingData[[#Totals],[Winning Candidate]]-SamplingData[[#Totals],[Candidate 3]]), 0)</f>
        <v>7.9024610521562428E-4</v>
      </c>
      <c r="S161" s="100">
        <f>IF(AND(SamplingData[[#This Row],[Total]]&lt;&gt; 0, NOT(ISBLANK(SamplingData[[#This Row],[Candidate 4]]))),(SamplingData[[#This Row],[Total]]+SamplingData[[#This Row],[Winning Candidate]]-SamplingData[[#This Row],[Candidate 4]])/(SamplingData[[#Totals],[Winning Candidate]]-SamplingData[[#Totals],[Candidate 4]]), 0)</f>
        <v>0</v>
      </c>
      <c r="T161" s="100">
        <f>IF(AND(SamplingData[[#This Row],[Total]]&lt;&gt; 0, NOT(ISBLANK(SamplingData[[#This Row],[Candidate 5]]))),(SamplingData[[#This Row],[Total]]+SamplingData[[#This Row],[Winning Candidate]]-SamplingData[[#This Row],[Candidate 5]])/(SamplingData[[#Totals],[Winning Candidate]]-SamplingData[[#Totals],[Candidate 5]]), 0)</f>
        <v>0</v>
      </c>
      <c r="U161" s="100">
        <f>IF(AND(SamplingData[[#This Row],[Total]]&lt;&gt; 0, NOT(ISBLANK(SamplingData[[#This Row],[Candidate 6]]))),(SamplingData[[#This Row],[Total]]+SamplingData[[#This Row],[Losing Candidate]]-SamplingData[[#This Row],[Candidate 6]])/(SamplingData[[#Totals],[Winning Candidate]]-SamplingData[[#Totals],[Candidate 6]]), 0)</f>
        <v>0</v>
      </c>
      <c r="V161" s="100">
        <f>IF(AND(SamplingData[[#This Row],[Total]]&lt;&gt; 0, NOT(ISBLANK(SamplingData[[#This Row],[Candidate 7]]))),(SamplingData[[#This Row],[Total]]+SamplingData[[#This Row],[Winning Candidate]]-SamplingData[[#This Row],[Candidate 7]])/(SamplingData[[#Totals],[Winning Candidate]]-SamplingData[[#Totals],[Candidate 7]]), 0)</f>
        <v>0</v>
      </c>
      <c r="W161" s="100">
        <f>IF(AND(SamplingData[[#This Row],[Total]]&lt;&gt; 0, NOT(ISBLANK(SamplingData[[#This Row],[Candidate 8]]))),(SamplingData[[#This Row],[Total]]+SamplingData[[#This Row],[Winning Candidate]]-SamplingData[[#This Row],[Candidate 8]])/(SamplingData[[#Totals],[Winning Candidate]]-SamplingData[[#Totals],[Candidate 8]]), 0)</f>
        <v>0</v>
      </c>
      <c r="X1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1" s="100">
        <f>MAX(SamplingData[[#This Row],[Error Bound (up) - Max. possible relative overstatement - Losing Candidate]:[Error Bound (up) - Max. possible relative overstatement - Candidate 12]])</f>
        <v>1.1377283357562732E-3</v>
      </c>
      <c r="AC161" s="100">
        <f>IF(SamplingData[[#This Row],[Max Error Bound (up)]] = 0,0,SamplingData[[#This Row],[Max Error Bound (up)]]/SamplingData[[#Totals],[Max Error Bound (up)]])</f>
        <v>4.6175336019588936E-4</v>
      </c>
      <c r="AD161" s="104">
        <f>SUM($AC$5:AC161)</f>
        <v>0.15860634093381148</v>
      </c>
      <c r="AE161" s="100" t="str" cm="1">
        <f t="array" ref="AE161">IF(SamplingData[[#This Row],[up/U Selection Probability]] = 0, "Zero", TEXT(SamplingData[[#This Row],[Lower Range]], REPT("0",LEN('General Info'!$B$42))) &amp; " - " &amp; TEXT(SamplingData[[#This Row],[Upper Range]], REPT("0",LEN('General Info'!$B$42))))</f>
        <v>15814 - 15860</v>
      </c>
      <c r="AF161" s="100">
        <f>SamplingData[[#This Row],[Upper Range]]-SamplingData[[#This Row],[Span]]</f>
        <v>15814.458757361559</v>
      </c>
      <c r="AG161" s="100">
        <f>IF(ISNUMBER('General Info'!$B$42), ((SamplingData[[#This Row],[up/U Selection Probability]]) * 'General Info'!$B$44) - 1, 0)</f>
        <v>45.175336019588933</v>
      </c>
      <c r="AH161" s="100">
        <f>IF(ISNUMBER('General Info'!$B$42), (SamplingData[[#This Row],[Running (cumulative) sum]] * ('General Info'!$B$42 -'General Info'!$B$43 + 1)) + 'General Info'!$B$43 - 1, 0)</f>
        <v>15859.634093381148</v>
      </c>
      <c r="AI161" s="100" t="str">
        <f>IF(ISERROR(MATCH(SamplingData[[#This Row],[Batch by Type (p)]],SelectedPrecincts[Batch Name], 0)), "", INDEX(SelectedPrecincts[Draw], MATCH(SamplingData[[#This Row],[Batch by Type (p)]],SelectedPrecincts[Batch Name], 0)))</f>
        <v/>
      </c>
      <c r="AJ161" s="101">
        <f>IF(COUNTIF(SelectedPrecincts[Batch Name],SamplingData[[#This Row],[Batch by Type (p)]]) &lt;&gt; 0, COUNTIF(SelectedPrecincts[Batch Name],SamplingData[[#This Row],[Batch by Type (p)]]), 0)</f>
        <v>0</v>
      </c>
    </row>
    <row r="162" spans="1:36" ht="15" customHeight="1" x14ac:dyDescent="0.35">
      <c r="A162" s="98" t="s">
        <v>373</v>
      </c>
      <c r="B162" s="98">
        <v>0</v>
      </c>
      <c r="C162" s="98">
        <v>0</v>
      </c>
      <c r="D162" s="93">
        <v>0</v>
      </c>
      <c r="E162" s="93"/>
      <c r="F162" s="93"/>
      <c r="G162" s="97"/>
      <c r="H162" s="97"/>
      <c r="I162" s="93"/>
      <c r="J162" s="93"/>
      <c r="K162" s="93"/>
      <c r="L162" s="93"/>
      <c r="M162" s="93"/>
      <c r="N162" s="98">
        <v>0</v>
      </c>
      <c r="O162" s="98">
        <v>0</v>
      </c>
      <c r="P162" s="99">
        <f>SUM(SamplingData[[#This Row],[Winning Candidate]:[Under Votes]])</f>
        <v>0</v>
      </c>
      <c r="Q162" s="100">
        <f>IF(AND(SamplingData[[#This Row],[Total]]&lt;&gt; 0, NOT(ISBLANK(SamplingData[[#This Row],[Losing Candidate]]))),(SamplingData[[#This Row],[Total]]+SamplingData[[#This Row],[Winning Candidate]]-SamplingData[[#This Row],[Losing Candidate]])/(SamplingData[[#Totals],[Winning Candidate]]-SamplingData[[#Totals],[Losing Candidate]]), 0)</f>
        <v>0</v>
      </c>
      <c r="R162" s="100">
        <f>IF(AND(SamplingData[[#This Row],[Total]]&lt;&gt; 0, NOT(ISBLANK(SamplingData[[#This Row],[Candidate 3]]))),(SamplingData[[#This Row],[Total]]+SamplingData[[#This Row],[Winning Candidate]]-SamplingData[[#This Row],[Candidate 3]])/(SamplingData[[#Totals],[Winning Candidate]]-SamplingData[[#Totals],[Candidate 3]]), 0)</f>
        <v>0</v>
      </c>
      <c r="S162" s="100">
        <f>IF(AND(SamplingData[[#This Row],[Total]]&lt;&gt; 0, NOT(ISBLANK(SamplingData[[#This Row],[Candidate 4]]))),(SamplingData[[#This Row],[Total]]+SamplingData[[#This Row],[Winning Candidate]]-SamplingData[[#This Row],[Candidate 4]])/(SamplingData[[#Totals],[Winning Candidate]]-SamplingData[[#Totals],[Candidate 4]]), 0)</f>
        <v>0</v>
      </c>
      <c r="T162" s="100">
        <f>IF(AND(SamplingData[[#This Row],[Total]]&lt;&gt; 0, NOT(ISBLANK(SamplingData[[#This Row],[Candidate 5]]))),(SamplingData[[#This Row],[Total]]+SamplingData[[#This Row],[Winning Candidate]]-SamplingData[[#This Row],[Candidate 5]])/(SamplingData[[#Totals],[Winning Candidate]]-SamplingData[[#Totals],[Candidate 5]]), 0)</f>
        <v>0</v>
      </c>
      <c r="U162" s="100">
        <f>IF(AND(SamplingData[[#This Row],[Total]]&lt;&gt; 0, NOT(ISBLANK(SamplingData[[#This Row],[Candidate 6]]))),(SamplingData[[#This Row],[Total]]+SamplingData[[#This Row],[Losing Candidate]]-SamplingData[[#This Row],[Candidate 6]])/(SamplingData[[#Totals],[Winning Candidate]]-SamplingData[[#Totals],[Candidate 6]]), 0)</f>
        <v>0</v>
      </c>
      <c r="V162" s="100">
        <f>IF(AND(SamplingData[[#This Row],[Total]]&lt;&gt; 0, NOT(ISBLANK(SamplingData[[#This Row],[Candidate 7]]))),(SamplingData[[#This Row],[Total]]+SamplingData[[#This Row],[Winning Candidate]]-SamplingData[[#This Row],[Candidate 7]])/(SamplingData[[#Totals],[Winning Candidate]]-SamplingData[[#Totals],[Candidate 7]]), 0)</f>
        <v>0</v>
      </c>
      <c r="W162" s="100">
        <f>IF(AND(SamplingData[[#This Row],[Total]]&lt;&gt; 0, NOT(ISBLANK(SamplingData[[#This Row],[Candidate 8]]))),(SamplingData[[#This Row],[Total]]+SamplingData[[#This Row],[Winning Candidate]]-SamplingData[[#This Row],[Candidate 8]])/(SamplingData[[#Totals],[Winning Candidate]]-SamplingData[[#Totals],[Candidate 8]]), 0)</f>
        <v>0</v>
      </c>
      <c r="X1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2" s="100">
        <f>MAX(SamplingData[[#This Row],[Error Bound (up) - Max. possible relative overstatement - Losing Candidate]:[Error Bound (up) - Max. possible relative overstatement - Candidate 12]])</f>
        <v>0</v>
      </c>
      <c r="AC162" s="100">
        <f>IF(SamplingData[[#This Row],[Max Error Bound (up)]] = 0,0,SamplingData[[#This Row],[Max Error Bound (up)]]/SamplingData[[#Totals],[Max Error Bound (up)]])</f>
        <v>0</v>
      </c>
      <c r="AD162" s="104">
        <f>SUM($AC$5:AC162)</f>
        <v>0.15860634093381148</v>
      </c>
      <c r="AE162" s="100" t="str" cm="1">
        <f t="array" ref="AE162">IF(SamplingData[[#This Row],[up/U Selection Probability]] = 0, "Zero", TEXT(SamplingData[[#This Row],[Lower Range]], REPT("0",LEN('General Info'!$B$42))) &amp; " - " &amp; TEXT(SamplingData[[#This Row],[Upper Range]], REPT("0",LEN('General Info'!$B$42))))</f>
        <v>Zero</v>
      </c>
      <c r="AF162" s="100">
        <f>SamplingData[[#This Row],[Upper Range]]-SamplingData[[#This Row],[Span]]</f>
        <v>15860.634093381148</v>
      </c>
      <c r="AG162" s="100">
        <f>IF(ISNUMBER('General Info'!$B$42), ((SamplingData[[#This Row],[up/U Selection Probability]]) * 'General Info'!$B$44) - 1, 0)</f>
        <v>-1</v>
      </c>
      <c r="AH162" s="100">
        <f>IF(ISNUMBER('General Info'!$B$42), (SamplingData[[#This Row],[Running (cumulative) sum]] * ('General Info'!$B$42 -'General Info'!$B$43 + 1)) + 'General Info'!$B$43 - 1, 0)</f>
        <v>15859.634093381148</v>
      </c>
      <c r="AI162" s="100" t="str">
        <f>IF(ISERROR(MATCH(SamplingData[[#This Row],[Batch by Type (p)]],SelectedPrecincts[Batch Name], 0)), "", INDEX(SelectedPrecincts[Draw], MATCH(SamplingData[[#This Row],[Batch by Type (p)]],SelectedPrecincts[Batch Name], 0)))</f>
        <v/>
      </c>
      <c r="AJ162" s="101">
        <f>IF(COUNTIF(SelectedPrecincts[Batch Name],SamplingData[[#This Row],[Batch by Type (p)]]) &lt;&gt; 0, COUNTIF(SelectedPrecincts[Batch Name],SamplingData[[#This Row],[Batch by Type (p)]]), 0)</f>
        <v>0</v>
      </c>
    </row>
    <row r="163" spans="1:36" ht="15" customHeight="1" x14ac:dyDescent="0.35">
      <c r="A163" s="98" t="s">
        <v>374</v>
      </c>
      <c r="B163" s="98">
        <v>1</v>
      </c>
      <c r="C163" s="98">
        <v>0</v>
      </c>
      <c r="D163" s="93">
        <v>0</v>
      </c>
      <c r="E163" s="93"/>
      <c r="F163" s="93"/>
      <c r="G163" s="97"/>
      <c r="H163" s="97"/>
      <c r="I163" s="93"/>
      <c r="J163" s="93"/>
      <c r="K163" s="93"/>
      <c r="L163" s="93"/>
      <c r="M163" s="93"/>
      <c r="N163" s="98">
        <v>0</v>
      </c>
      <c r="O163" s="98">
        <v>0</v>
      </c>
      <c r="P163" s="99">
        <f>SUM(SamplingData[[#This Row],[Winning Candidate]:[Under Votes]])</f>
        <v>1</v>
      </c>
      <c r="Q163"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163" s="100">
        <f>IF(AND(SamplingData[[#This Row],[Total]]&lt;&gt; 0, NOT(ISBLANK(SamplingData[[#This Row],[Candidate 3]]))),(SamplingData[[#This Row],[Total]]+SamplingData[[#This Row],[Winning Candidate]]-SamplingData[[#This Row],[Candidate 3]])/(SamplingData[[#Totals],[Winning Candidate]]-SamplingData[[#Totals],[Candidate 3]]), 0)</f>
        <v>1.1289230074508918E-4</v>
      </c>
      <c r="S163" s="100">
        <f>IF(AND(SamplingData[[#This Row],[Total]]&lt;&gt; 0, NOT(ISBLANK(SamplingData[[#This Row],[Candidate 4]]))),(SamplingData[[#This Row],[Total]]+SamplingData[[#This Row],[Winning Candidate]]-SamplingData[[#This Row],[Candidate 4]])/(SamplingData[[#Totals],[Winning Candidate]]-SamplingData[[#Totals],[Candidate 4]]), 0)</f>
        <v>0</v>
      </c>
      <c r="T163" s="100">
        <f>IF(AND(SamplingData[[#This Row],[Total]]&lt;&gt; 0, NOT(ISBLANK(SamplingData[[#This Row],[Candidate 5]]))),(SamplingData[[#This Row],[Total]]+SamplingData[[#This Row],[Winning Candidate]]-SamplingData[[#This Row],[Candidate 5]])/(SamplingData[[#Totals],[Winning Candidate]]-SamplingData[[#Totals],[Candidate 5]]), 0)</f>
        <v>0</v>
      </c>
      <c r="U163" s="100">
        <f>IF(AND(SamplingData[[#This Row],[Total]]&lt;&gt; 0, NOT(ISBLANK(SamplingData[[#This Row],[Candidate 6]]))),(SamplingData[[#This Row],[Total]]+SamplingData[[#This Row],[Losing Candidate]]-SamplingData[[#This Row],[Candidate 6]])/(SamplingData[[#Totals],[Winning Candidate]]-SamplingData[[#Totals],[Candidate 6]]), 0)</f>
        <v>0</v>
      </c>
      <c r="V163" s="100">
        <f>IF(AND(SamplingData[[#This Row],[Total]]&lt;&gt; 0, NOT(ISBLANK(SamplingData[[#This Row],[Candidate 7]]))),(SamplingData[[#This Row],[Total]]+SamplingData[[#This Row],[Winning Candidate]]-SamplingData[[#This Row],[Candidate 7]])/(SamplingData[[#Totals],[Winning Candidate]]-SamplingData[[#Totals],[Candidate 7]]), 0)</f>
        <v>0</v>
      </c>
      <c r="W163" s="100">
        <f>IF(AND(SamplingData[[#This Row],[Total]]&lt;&gt; 0, NOT(ISBLANK(SamplingData[[#This Row],[Candidate 8]]))),(SamplingData[[#This Row],[Total]]+SamplingData[[#This Row],[Winning Candidate]]-SamplingData[[#This Row],[Candidate 8]])/(SamplingData[[#Totals],[Winning Candidate]]-SamplingData[[#Totals],[Candidate 8]]), 0)</f>
        <v>0</v>
      </c>
      <c r="X1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3" s="100">
        <f>MAX(SamplingData[[#This Row],[Error Bound (up) - Max. possible relative overstatement - Losing Candidate]:[Error Bound (up) - Max. possible relative overstatement - Candidate 12]])</f>
        <v>1.2641425952847481E-4</v>
      </c>
      <c r="AC163" s="100">
        <f>IF(SamplingData[[#This Row],[Max Error Bound (up)]] = 0,0,SamplingData[[#This Row],[Max Error Bound (up)]]/SamplingData[[#Totals],[Max Error Bound (up)]])</f>
        <v>5.1305928910654381E-5</v>
      </c>
      <c r="AD163" s="104">
        <f>SUM($AC$5:AC163)</f>
        <v>0.15865764686272213</v>
      </c>
      <c r="AE163" s="100" t="str" cm="1">
        <f t="array" ref="AE163">IF(SamplingData[[#This Row],[up/U Selection Probability]] = 0, "Zero", TEXT(SamplingData[[#This Row],[Lower Range]], REPT("0",LEN('General Info'!$B$42))) &amp; " - " &amp; TEXT(SamplingData[[#This Row],[Upper Range]], REPT("0",LEN('General Info'!$B$42))))</f>
        <v>15861 - 15865</v>
      </c>
      <c r="AF163" s="100">
        <f>SamplingData[[#This Row],[Upper Range]]-SamplingData[[#This Row],[Span]]</f>
        <v>15860.634093381146</v>
      </c>
      <c r="AG163" s="100">
        <f>IF(ISNUMBER('General Info'!$B$42), ((SamplingData[[#This Row],[up/U Selection Probability]]) * 'General Info'!$B$44) - 1, 0)</f>
        <v>4.1305928910654384</v>
      </c>
      <c r="AH163" s="100">
        <f>IF(ISNUMBER('General Info'!$B$42), (SamplingData[[#This Row],[Running (cumulative) sum]] * ('General Info'!$B$42 -'General Info'!$B$43 + 1)) + 'General Info'!$B$43 - 1, 0)</f>
        <v>15864.764686272212</v>
      </c>
      <c r="AI163" s="100" t="str">
        <f>IF(ISERROR(MATCH(SamplingData[[#This Row],[Batch by Type (p)]],SelectedPrecincts[Batch Name], 0)), "", INDEX(SelectedPrecincts[Draw], MATCH(SamplingData[[#This Row],[Batch by Type (p)]],SelectedPrecincts[Batch Name], 0)))</f>
        <v/>
      </c>
      <c r="AJ163" s="101">
        <f>IF(COUNTIF(SelectedPrecincts[Batch Name],SamplingData[[#This Row],[Batch by Type (p)]]) &lt;&gt; 0, COUNTIF(SelectedPrecincts[Batch Name],SamplingData[[#This Row],[Batch by Type (p)]]), 0)</f>
        <v>0</v>
      </c>
    </row>
    <row r="164" spans="1:36" ht="15" customHeight="1" x14ac:dyDescent="0.35">
      <c r="A164" s="98" t="s">
        <v>375</v>
      </c>
      <c r="B164" s="98">
        <v>3</v>
      </c>
      <c r="C164" s="98">
        <v>0</v>
      </c>
      <c r="D164" s="93">
        <v>0</v>
      </c>
      <c r="E164" s="93"/>
      <c r="F164" s="93"/>
      <c r="G164" s="97"/>
      <c r="H164" s="97"/>
      <c r="I164" s="93"/>
      <c r="J164" s="93"/>
      <c r="K164" s="93"/>
      <c r="L164" s="93"/>
      <c r="M164" s="93"/>
      <c r="N164" s="98">
        <v>0</v>
      </c>
      <c r="O164" s="98">
        <v>0</v>
      </c>
      <c r="P164" s="99">
        <f>SUM(SamplingData[[#This Row],[Winning Candidate]:[Under Votes]])</f>
        <v>3</v>
      </c>
      <c r="Q164" s="100">
        <f>IF(AND(SamplingData[[#This Row],[Total]]&lt;&gt; 0, NOT(ISBLANK(SamplingData[[#This Row],[Losing Candidate]]))),(SamplingData[[#This Row],[Total]]+SamplingData[[#This Row],[Winning Candidate]]-SamplingData[[#This Row],[Losing Candidate]])/(SamplingData[[#Totals],[Winning Candidate]]-SamplingData[[#Totals],[Losing Candidate]]), 0)</f>
        <v>3.7924277858542444E-4</v>
      </c>
      <c r="R164" s="100">
        <f>IF(AND(SamplingData[[#This Row],[Total]]&lt;&gt; 0, NOT(ISBLANK(SamplingData[[#This Row],[Candidate 3]]))),(SamplingData[[#This Row],[Total]]+SamplingData[[#This Row],[Winning Candidate]]-SamplingData[[#This Row],[Candidate 3]])/(SamplingData[[#Totals],[Winning Candidate]]-SamplingData[[#Totals],[Candidate 3]]), 0)</f>
        <v>3.3867690223526756E-4</v>
      </c>
      <c r="S164" s="100">
        <f>IF(AND(SamplingData[[#This Row],[Total]]&lt;&gt; 0, NOT(ISBLANK(SamplingData[[#This Row],[Candidate 4]]))),(SamplingData[[#This Row],[Total]]+SamplingData[[#This Row],[Winning Candidate]]-SamplingData[[#This Row],[Candidate 4]])/(SamplingData[[#Totals],[Winning Candidate]]-SamplingData[[#Totals],[Candidate 4]]), 0)</f>
        <v>0</v>
      </c>
      <c r="T164" s="100">
        <f>IF(AND(SamplingData[[#This Row],[Total]]&lt;&gt; 0, NOT(ISBLANK(SamplingData[[#This Row],[Candidate 5]]))),(SamplingData[[#This Row],[Total]]+SamplingData[[#This Row],[Winning Candidate]]-SamplingData[[#This Row],[Candidate 5]])/(SamplingData[[#Totals],[Winning Candidate]]-SamplingData[[#Totals],[Candidate 5]]), 0)</f>
        <v>0</v>
      </c>
      <c r="U164" s="100">
        <f>IF(AND(SamplingData[[#This Row],[Total]]&lt;&gt; 0, NOT(ISBLANK(SamplingData[[#This Row],[Candidate 6]]))),(SamplingData[[#This Row],[Total]]+SamplingData[[#This Row],[Losing Candidate]]-SamplingData[[#This Row],[Candidate 6]])/(SamplingData[[#Totals],[Winning Candidate]]-SamplingData[[#Totals],[Candidate 6]]), 0)</f>
        <v>0</v>
      </c>
      <c r="V164" s="100">
        <f>IF(AND(SamplingData[[#This Row],[Total]]&lt;&gt; 0, NOT(ISBLANK(SamplingData[[#This Row],[Candidate 7]]))),(SamplingData[[#This Row],[Total]]+SamplingData[[#This Row],[Winning Candidate]]-SamplingData[[#This Row],[Candidate 7]])/(SamplingData[[#Totals],[Winning Candidate]]-SamplingData[[#Totals],[Candidate 7]]), 0)</f>
        <v>0</v>
      </c>
      <c r="W164" s="100">
        <f>IF(AND(SamplingData[[#This Row],[Total]]&lt;&gt; 0, NOT(ISBLANK(SamplingData[[#This Row],[Candidate 8]]))),(SamplingData[[#This Row],[Total]]+SamplingData[[#This Row],[Winning Candidate]]-SamplingData[[#This Row],[Candidate 8]])/(SamplingData[[#Totals],[Winning Candidate]]-SamplingData[[#Totals],[Candidate 8]]), 0)</f>
        <v>0</v>
      </c>
      <c r="X1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4" s="100">
        <f>MAX(SamplingData[[#This Row],[Error Bound (up) - Max. possible relative overstatement - Losing Candidate]:[Error Bound (up) - Max. possible relative overstatement - Candidate 12]])</f>
        <v>3.7924277858542444E-4</v>
      </c>
      <c r="AC164" s="100">
        <f>IF(SamplingData[[#This Row],[Max Error Bound (up)]] = 0,0,SamplingData[[#This Row],[Max Error Bound (up)]]/SamplingData[[#Totals],[Max Error Bound (up)]])</f>
        <v>1.5391778673196313E-4</v>
      </c>
      <c r="AD164" s="104">
        <f>SUM($AC$5:AC164)</f>
        <v>0.15881156464945409</v>
      </c>
      <c r="AE164" s="100" t="str" cm="1">
        <f t="array" ref="AE164">IF(SamplingData[[#This Row],[up/U Selection Probability]] = 0, "Zero", TEXT(SamplingData[[#This Row],[Lower Range]], REPT("0",LEN('General Info'!$B$42))) &amp; " - " &amp; TEXT(SamplingData[[#This Row],[Upper Range]], REPT("0",LEN('General Info'!$B$42))))</f>
        <v>15866 - 15880</v>
      </c>
      <c r="AF164" s="100">
        <f>SamplingData[[#This Row],[Upper Range]]-SamplingData[[#This Row],[Span]]</f>
        <v>15865.764686272212</v>
      </c>
      <c r="AG164" s="100">
        <f>IF(ISNUMBER('General Info'!$B$42), ((SamplingData[[#This Row],[up/U Selection Probability]]) * 'General Info'!$B$44) - 1, 0)</f>
        <v>14.391778673196313</v>
      </c>
      <c r="AH164" s="100">
        <f>IF(ISNUMBER('General Info'!$B$42), (SamplingData[[#This Row],[Running (cumulative) sum]] * ('General Info'!$B$42 -'General Info'!$B$43 + 1)) + 'General Info'!$B$43 - 1, 0)</f>
        <v>15880.156464945409</v>
      </c>
      <c r="AI164" s="100" t="str">
        <f>IF(ISERROR(MATCH(SamplingData[[#This Row],[Batch by Type (p)]],SelectedPrecincts[Batch Name], 0)), "", INDEX(SelectedPrecincts[Draw], MATCH(SamplingData[[#This Row],[Batch by Type (p)]],SelectedPrecincts[Batch Name], 0)))</f>
        <v/>
      </c>
      <c r="AJ164" s="101">
        <f>IF(COUNTIF(SelectedPrecincts[Batch Name],SamplingData[[#This Row],[Batch by Type (p)]]) &lt;&gt; 0, COUNTIF(SelectedPrecincts[Batch Name],SamplingData[[#This Row],[Batch by Type (p)]]), 0)</f>
        <v>0</v>
      </c>
    </row>
    <row r="165" spans="1:36" ht="15" customHeight="1" x14ac:dyDescent="0.35">
      <c r="A165" s="98" t="s">
        <v>376</v>
      </c>
      <c r="B165" s="98">
        <v>7</v>
      </c>
      <c r="C165" s="98">
        <v>5</v>
      </c>
      <c r="D165" s="93">
        <v>12</v>
      </c>
      <c r="E165" s="93"/>
      <c r="F165" s="93"/>
      <c r="G165" s="97"/>
      <c r="H165" s="97"/>
      <c r="I165" s="93"/>
      <c r="J165" s="93"/>
      <c r="K165" s="93"/>
      <c r="L165" s="93"/>
      <c r="M165" s="93"/>
      <c r="N165" s="98">
        <v>0</v>
      </c>
      <c r="O165" s="98">
        <v>2</v>
      </c>
      <c r="P165" s="99">
        <f>SUM(SamplingData[[#This Row],[Winning Candidate]:[Under Votes]])</f>
        <v>26</v>
      </c>
      <c r="Q165" s="100">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165" s="100">
        <f>IF(AND(SamplingData[[#This Row],[Total]]&lt;&gt; 0, NOT(ISBLANK(SamplingData[[#This Row],[Candidate 3]]))),(SamplingData[[#This Row],[Total]]+SamplingData[[#This Row],[Winning Candidate]]-SamplingData[[#This Row],[Candidate 3]])/(SamplingData[[#Totals],[Winning Candidate]]-SamplingData[[#Totals],[Candidate 3]]), 0)</f>
        <v>1.1853691578234365E-3</v>
      </c>
      <c r="S165" s="100">
        <f>IF(AND(SamplingData[[#This Row],[Total]]&lt;&gt; 0, NOT(ISBLANK(SamplingData[[#This Row],[Candidate 4]]))),(SamplingData[[#This Row],[Total]]+SamplingData[[#This Row],[Winning Candidate]]-SamplingData[[#This Row],[Candidate 4]])/(SamplingData[[#Totals],[Winning Candidate]]-SamplingData[[#Totals],[Candidate 4]]), 0)</f>
        <v>0</v>
      </c>
      <c r="T165" s="100">
        <f>IF(AND(SamplingData[[#This Row],[Total]]&lt;&gt; 0, NOT(ISBLANK(SamplingData[[#This Row],[Candidate 5]]))),(SamplingData[[#This Row],[Total]]+SamplingData[[#This Row],[Winning Candidate]]-SamplingData[[#This Row],[Candidate 5]])/(SamplingData[[#Totals],[Winning Candidate]]-SamplingData[[#Totals],[Candidate 5]]), 0)</f>
        <v>0</v>
      </c>
      <c r="U165" s="100">
        <f>IF(AND(SamplingData[[#This Row],[Total]]&lt;&gt; 0, NOT(ISBLANK(SamplingData[[#This Row],[Candidate 6]]))),(SamplingData[[#This Row],[Total]]+SamplingData[[#This Row],[Losing Candidate]]-SamplingData[[#This Row],[Candidate 6]])/(SamplingData[[#Totals],[Winning Candidate]]-SamplingData[[#Totals],[Candidate 6]]), 0)</f>
        <v>0</v>
      </c>
      <c r="V165" s="100">
        <f>IF(AND(SamplingData[[#This Row],[Total]]&lt;&gt; 0, NOT(ISBLANK(SamplingData[[#This Row],[Candidate 7]]))),(SamplingData[[#This Row],[Total]]+SamplingData[[#This Row],[Winning Candidate]]-SamplingData[[#This Row],[Candidate 7]])/(SamplingData[[#Totals],[Winning Candidate]]-SamplingData[[#Totals],[Candidate 7]]), 0)</f>
        <v>0</v>
      </c>
      <c r="W165" s="100">
        <f>IF(AND(SamplingData[[#This Row],[Total]]&lt;&gt; 0, NOT(ISBLANK(SamplingData[[#This Row],[Candidate 8]]))),(SamplingData[[#This Row],[Total]]+SamplingData[[#This Row],[Winning Candidate]]-SamplingData[[#This Row],[Candidate 8]])/(SamplingData[[#Totals],[Winning Candidate]]-SamplingData[[#Totals],[Candidate 8]]), 0)</f>
        <v>0</v>
      </c>
      <c r="X1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5" s="100">
        <f>MAX(SamplingData[[#This Row],[Error Bound (up) - Max. possible relative overstatement - Losing Candidate]:[Error Bound (up) - Max. possible relative overstatement - Candidate 12]])</f>
        <v>1.7697996333986474E-3</v>
      </c>
      <c r="AC165" s="100">
        <f>IF(SamplingData[[#This Row],[Max Error Bound (up)]] = 0,0,SamplingData[[#This Row],[Max Error Bound (up)]]/SamplingData[[#Totals],[Max Error Bound (up)]])</f>
        <v>7.1828300474916125E-4</v>
      </c>
      <c r="AD165" s="104">
        <f>SUM($AC$5:AC165)</f>
        <v>0.15952984765420325</v>
      </c>
      <c r="AE165" s="100" t="str" cm="1">
        <f t="array" ref="AE165">IF(SamplingData[[#This Row],[up/U Selection Probability]] = 0, "Zero", TEXT(SamplingData[[#This Row],[Lower Range]], REPT("0",LEN('General Info'!$B$42))) &amp; " - " &amp; TEXT(SamplingData[[#This Row],[Upper Range]], REPT("0",LEN('General Info'!$B$42))))</f>
        <v>15881 - 15952</v>
      </c>
      <c r="AF165" s="100">
        <f>SamplingData[[#This Row],[Upper Range]]-SamplingData[[#This Row],[Span]]</f>
        <v>15881.15646494541</v>
      </c>
      <c r="AG165" s="100">
        <f>IF(ISNUMBER('General Info'!$B$42), ((SamplingData[[#This Row],[up/U Selection Probability]]) * 'General Info'!$B$44) - 1, 0)</f>
        <v>70.828300474916119</v>
      </c>
      <c r="AH165" s="100">
        <f>IF(ISNUMBER('General Info'!$B$42), (SamplingData[[#This Row],[Running (cumulative) sum]] * ('General Info'!$B$42 -'General Info'!$B$43 + 1)) + 'General Info'!$B$43 - 1, 0)</f>
        <v>15951.984765420326</v>
      </c>
      <c r="AI165" s="100" t="str">
        <f>IF(ISERROR(MATCH(SamplingData[[#This Row],[Batch by Type (p)]],SelectedPrecincts[Batch Name], 0)), "", INDEX(SelectedPrecincts[Draw], MATCH(SamplingData[[#This Row],[Batch by Type (p)]],SelectedPrecincts[Batch Name], 0)))</f>
        <v/>
      </c>
      <c r="AJ165" s="101">
        <f>IF(COUNTIF(SelectedPrecincts[Batch Name],SamplingData[[#This Row],[Batch by Type (p)]]) &lt;&gt; 0, COUNTIF(SelectedPrecincts[Batch Name],SamplingData[[#This Row],[Batch by Type (p)]]), 0)</f>
        <v>0</v>
      </c>
    </row>
    <row r="166" spans="1:36" ht="15" customHeight="1" x14ac:dyDescent="0.35">
      <c r="A166" s="98" t="s">
        <v>377</v>
      </c>
      <c r="B166" s="98">
        <v>9</v>
      </c>
      <c r="C166" s="98">
        <v>5</v>
      </c>
      <c r="D166" s="93">
        <v>0</v>
      </c>
      <c r="E166" s="93"/>
      <c r="F166" s="93"/>
      <c r="G166" s="97"/>
      <c r="H166" s="97"/>
      <c r="I166" s="93"/>
      <c r="J166" s="93"/>
      <c r="K166" s="93"/>
      <c r="L166" s="93"/>
      <c r="M166" s="93"/>
      <c r="N166" s="98">
        <v>0</v>
      </c>
      <c r="O166" s="98">
        <v>0</v>
      </c>
      <c r="P166" s="99">
        <f>SUM(SamplingData[[#This Row],[Winning Candidate]:[Under Votes]])</f>
        <v>14</v>
      </c>
      <c r="Q166" s="100">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166" s="100">
        <f>IF(AND(SamplingData[[#This Row],[Total]]&lt;&gt; 0, NOT(ISBLANK(SamplingData[[#This Row],[Candidate 3]]))),(SamplingData[[#This Row],[Total]]+SamplingData[[#This Row],[Winning Candidate]]-SamplingData[[#This Row],[Candidate 3]])/(SamplingData[[#Totals],[Winning Candidate]]-SamplingData[[#Totals],[Candidate 3]]), 0)</f>
        <v>1.2982614585685256E-3</v>
      </c>
      <c r="S166" s="100">
        <f>IF(AND(SamplingData[[#This Row],[Total]]&lt;&gt; 0, NOT(ISBLANK(SamplingData[[#This Row],[Candidate 4]]))),(SamplingData[[#This Row],[Total]]+SamplingData[[#This Row],[Winning Candidate]]-SamplingData[[#This Row],[Candidate 4]])/(SamplingData[[#Totals],[Winning Candidate]]-SamplingData[[#Totals],[Candidate 4]]), 0)</f>
        <v>0</v>
      </c>
      <c r="T166" s="100">
        <f>IF(AND(SamplingData[[#This Row],[Total]]&lt;&gt; 0, NOT(ISBLANK(SamplingData[[#This Row],[Candidate 5]]))),(SamplingData[[#This Row],[Total]]+SamplingData[[#This Row],[Winning Candidate]]-SamplingData[[#This Row],[Candidate 5]])/(SamplingData[[#Totals],[Winning Candidate]]-SamplingData[[#Totals],[Candidate 5]]), 0)</f>
        <v>0</v>
      </c>
      <c r="U166" s="100">
        <f>IF(AND(SamplingData[[#This Row],[Total]]&lt;&gt; 0, NOT(ISBLANK(SamplingData[[#This Row],[Candidate 6]]))),(SamplingData[[#This Row],[Total]]+SamplingData[[#This Row],[Losing Candidate]]-SamplingData[[#This Row],[Candidate 6]])/(SamplingData[[#Totals],[Winning Candidate]]-SamplingData[[#Totals],[Candidate 6]]), 0)</f>
        <v>0</v>
      </c>
      <c r="V166" s="100">
        <f>IF(AND(SamplingData[[#This Row],[Total]]&lt;&gt; 0, NOT(ISBLANK(SamplingData[[#This Row],[Candidate 7]]))),(SamplingData[[#This Row],[Total]]+SamplingData[[#This Row],[Winning Candidate]]-SamplingData[[#This Row],[Candidate 7]])/(SamplingData[[#Totals],[Winning Candidate]]-SamplingData[[#Totals],[Candidate 7]]), 0)</f>
        <v>0</v>
      </c>
      <c r="W166" s="100">
        <f>IF(AND(SamplingData[[#This Row],[Total]]&lt;&gt; 0, NOT(ISBLANK(SamplingData[[#This Row],[Candidate 8]]))),(SamplingData[[#This Row],[Total]]+SamplingData[[#This Row],[Winning Candidate]]-SamplingData[[#This Row],[Candidate 8]])/(SamplingData[[#Totals],[Winning Candidate]]-SamplingData[[#Totals],[Candidate 8]]), 0)</f>
        <v>0</v>
      </c>
      <c r="X1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6" s="100">
        <f>MAX(SamplingData[[#This Row],[Error Bound (up) - Max. possible relative overstatement - Losing Candidate]:[Error Bound (up) - Max. possible relative overstatement - Candidate 12]])</f>
        <v>1.2982614585685256E-3</v>
      </c>
      <c r="AC166" s="100">
        <f>IF(SamplingData[[#This Row],[Max Error Bound (up)]] = 0,0,SamplingData[[#This Row],[Max Error Bound (up)]]/SamplingData[[#Totals],[Max Error Bound (up)]])</f>
        <v>5.2690661915205596E-4</v>
      </c>
      <c r="AD166" s="104">
        <f>SUM($AC$5:AC166)</f>
        <v>0.16005675427335531</v>
      </c>
      <c r="AE166" s="100" t="str" cm="1">
        <f t="array" ref="AE166">IF(SamplingData[[#This Row],[up/U Selection Probability]] = 0, "Zero", TEXT(SamplingData[[#This Row],[Lower Range]], REPT("0",LEN('General Info'!$B$42))) &amp; " - " &amp; TEXT(SamplingData[[#This Row],[Upper Range]], REPT("0",LEN('General Info'!$B$42))))</f>
        <v>15953 - 16005</v>
      </c>
      <c r="AF166" s="100">
        <f>SamplingData[[#This Row],[Upper Range]]-SamplingData[[#This Row],[Span]]</f>
        <v>15952.984765420326</v>
      </c>
      <c r="AG166" s="100">
        <f>IF(ISNUMBER('General Info'!$B$42), ((SamplingData[[#This Row],[up/U Selection Probability]]) * 'General Info'!$B$44) - 1, 0)</f>
        <v>51.690661915205595</v>
      </c>
      <c r="AH166" s="100">
        <f>IF(ISNUMBER('General Info'!$B$42), (SamplingData[[#This Row],[Running (cumulative) sum]] * ('General Info'!$B$42 -'General Info'!$B$43 + 1)) + 'General Info'!$B$43 - 1, 0)</f>
        <v>16004.675427335531</v>
      </c>
      <c r="AI166" s="100" t="str">
        <f>IF(ISERROR(MATCH(SamplingData[[#This Row],[Batch by Type (p)]],SelectedPrecincts[Batch Name], 0)), "", INDEX(SelectedPrecincts[Draw], MATCH(SamplingData[[#This Row],[Batch by Type (p)]],SelectedPrecincts[Batch Name], 0)))</f>
        <v/>
      </c>
      <c r="AJ166" s="101">
        <f>IF(COUNTIF(SelectedPrecincts[Batch Name],SamplingData[[#This Row],[Batch by Type (p)]]) &lt;&gt; 0, COUNTIF(SelectedPrecincts[Batch Name],SamplingData[[#This Row],[Batch by Type (p)]]), 0)</f>
        <v>0</v>
      </c>
    </row>
    <row r="167" spans="1:36" ht="15" customHeight="1" x14ac:dyDescent="0.35">
      <c r="A167" s="98" t="s">
        <v>378</v>
      </c>
      <c r="B167" s="98">
        <v>6</v>
      </c>
      <c r="C167" s="98">
        <v>4</v>
      </c>
      <c r="D167" s="93">
        <v>2</v>
      </c>
      <c r="E167" s="93"/>
      <c r="F167" s="93"/>
      <c r="G167" s="97"/>
      <c r="H167" s="97"/>
      <c r="I167" s="93"/>
      <c r="J167" s="93"/>
      <c r="K167" s="93"/>
      <c r="L167" s="93"/>
      <c r="M167" s="93"/>
      <c r="N167" s="98">
        <v>0</v>
      </c>
      <c r="O167" s="98">
        <v>0</v>
      </c>
      <c r="P167" s="99">
        <f>SUM(SamplingData[[#This Row],[Winning Candidate]:[Under Votes]])</f>
        <v>12</v>
      </c>
      <c r="Q167" s="100">
        <f>IF(AND(SamplingData[[#This Row],[Total]]&lt;&gt; 0, NOT(ISBLANK(SamplingData[[#This Row],[Losing Candidate]]))),(SamplingData[[#This Row],[Total]]+SamplingData[[#This Row],[Winning Candidate]]-SamplingData[[#This Row],[Losing Candidate]])/(SamplingData[[#Totals],[Winning Candidate]]-SamplingData[[#Totals],[Losing Candidate]]), 0)</f>
        <v>8.848998166993237E-4</v>
      </c>
      <c r="R167" s="100">
        <f>IF(AND(SamplingData[[#This Row],[Total]]&lt;&gt; 0, NOT(ISBLANK(SamplingData[[#This Row],[Candidate 3]]))),(SamplingData[[#This Row],[Total]]+SamplingData[[#This Row],[Winning Candidate]]-SamplingData[[#This Row],[Candidate 3]])/(SamplingData[[#Totals],[Winning Candidate]]-SamplingData[[#Totals],[Candidate 3]]), 0)</f>
        <v>9.0313840596071345E-4</v>
      </c>
      <c r="S167" s="100">
        <f>IF(AND(SamplingData[[#This Row],[Total]]&lt;&gt; 0, NOT(ISBLANK(SamplingData[[#This Row],[Candidate 4]]))),(SamplingData[[#This Row],[Total]]+SamplingData[[#This Row],[Winning Candidate]]-SamplingData[[#This Row],[Candidate 4]])/(SamplingData[[#Totals],[Winning Candidate]]-SamplingData[[#Totals],[Candidate 4]]), 0)</f>
        <v>0</v>
      </c>
      <c r="T167" s="100">
        <f>IF(AND(SamplingData[[#This Row],[Total]]&lt;&gt; 0, NOT(ISBLANK(SamplingData[[#This Row],[Candidate 5]]))),(SamplingData[[#This Row],[Total]]+SamplingData[[#This Row],[Winning Candidate]]-SamplingData[[#This Row],[Candidate 5]])/(SamplingData[[#Totals],[Winning Candidate]]-SamplingData[[#Totals],[Candidate 5]]), 0)</f>
        <v>0</v>
      </c>
      <c r="U167" s="100">
        <f>IF(AND(SamplingData[[#This Row],[Total]]&lt;&gt; 0, NOT(ISBLANK(SamplingData[[#This Row],[Candidate 6]]))),(SamplingData[[#This Row],[Total]]+SamplingData[[#This Row],[Losing Candidate]]-SamplingData[[#This Row],[Candidate 6]])/(SamplingData[[#Totals],[Winning Candidate]]-SamplingData[[#Totals],[Candidate 6]]), 0)</f>
        <v>0</v>
      </c>
      <c r="V167" s="100">
        <f>IF(AND(SamplingData[[#This Row],[Total]]&lt;&gt; 0, NOT(ISBLANK(SamplingData[[#This Row],[Candidate 7]]))),(SamplingData[[#This Row],[Total]]+SamplingData[[#This Row],[Winning Candidate]]-SamplingData[[#This Row],[Candidate 7]])/(SamplingData[[#Totals],[Winning Candidate]]-SamplingData[[#Totals],[Candidate 7]]), 0)</f>
        <v>0</v>
      </c>
      <c r="W167" s="100">
        <f>IF(AND(SamplingData[[#This Row],[Total]]&lt;&gt; 0, NOT(ISBLANK(SamplingData[[#This Row],[Candidate 8]]))),(SamplingData[[#This Row],[Total]]+SamplingData[[#This Row],[Winning Candidate]]-SamplingData[[#This Row],[Candidate 8]])/(SamplingData[[#Totals],[Winning Candidate]]-SamplingData[[#Totals],[Candidate 8]]), 0)</f>
        <v>0</v>
      </c>
      <c r="X1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7" s="100">
        <f>MAX(SamplingData[[#This Row],[Error Bound (up) - Max. possible relative overstatement - Losing Candidate]:[Error Bound (up) - Max. possible relative overstatement - Candidate 12]])</f>
        <v>9.0313840596071345E-4</v>
      </c>
      <c r="AC167" s="100">
        <f>IF(SamplingData[[#This Row],[Max Error Bound (up)]] = 0,0,SamplingData[[#This Row],[Max Error Bound (up)]]/SamplingData[[#Totals],[Max Error Bound (up)]])</f>
        <v>3.6654373506229981E-4</v>
      </c>
      <c r="AD167" s="104">
        <f>SUM($AC$5:AC167)</f>
        <v>0.16042329800841762</v>
      </c>
      <c r="AE167" s="100" t="str" cm="1">
        <f t="array" ref="AE167">IF(SamplingData[[#This Row],[up/U Selection Probability]] = 0, "Zero", TEXT(SamplingData[[#This Row],[Lower Range]], REPT("0",LEN('General Info'!$B$42))) &amp; " - " &amp; TEXT(SamplingData[[#This Row],[Upper Range]], REPT("0",LEN('General Info'!$B$42))))</f>
        <v>16006 - 16041</v>
      </c>
      <c r="AF167" s="100">
        <f>SamplingData[[#This Row],[Upper Range]]-SamplingData[[#This Row],[Span]]</f>
        <v>16005.675427335533</v>
      </c>
      <c r="AG167" s="100">
        <f>IF(ISNUMBER('General Info'!$B$42), ((SamplingData[[#This Row],[up/U Selection Probability]]) * 'General Info'!$B$44) - 1, 0)</f>
        <v>35.65437350622998</v>
      </c>
      <c r="AH167" s="100">
        <f>IF(ISNUMBER('General Info'!$B$42), (SamplingData[[#This Row],[Running (cumulative) sum]] * ('General Info'!$B$42 -'General Info'!$B$43 + 1)) + 'General Info'!$B$43 - 1, 0)</f>
        <v>16041.329800841762</v>
      </c>
      <c r="AI167" s="100" t="str">
        <f>IF(ISERROR(MATCH(SamplingData[[#This Row],[Batch by Type (p)]],SelectedPrecincts[Batch Name], 0)), "", INDEX(SelectedPrecincts[Draw], MATCH(SamplingData[[#This Row],[Batch by Type (p)]],SelectedPrecincts[Batch Name], 0)))</f>
        <v/>
      </c>
      <c r="AJ167" s="101">
        <f>IF(COUNTIF(SelectedPrecincts[Batch Name],SamplingData[[#This Row],[Batch by Type (p)]]) &lt;&gt; 0, COUNTIF(SelectedPrecincts[Batch Name],SamplingData[[#This Row],[Batch by Type (p)]]), 0)</f>
        <v>0</v>
      </c>
    </row>
    <row r="168" spans="1:36" ht="15" customHeight="1" x14ac:dyDescent="0.35">
      <c r="A168" s="98" t="s">
        <v>379</v>
      </c>
      <c r="B168" s="98">
        <v>6</v>
      </c>
      <c r="C168" s="98">
        <v>3</v>
      </c>
      <c r="D168" s="93">
        <v>3</v>
      </c>
      <c r="E168" s="93"/>
      <c r="F168" s="93"/>
      <c r="G168" s="97"/>
      <c r="H168" s="97"/>
      <c r="I168" s="93"/>
      <c r="J168" s="93"/>
      <c r="K168" s="93"/>
      <c r="L168" s="93"/>
      <c r="M168" s="93"/>
      <c r="N168" s="98">
        <v>0</v>
      </c>
      <c r="O168" s="98">
        <v>0</v>
      </c>
      <c r="P168" s="99">
        <f>SUM(SamplingData[[#This Row],[Winning Candidate]:[Under Votes]])</f>
        <v>12</v>
      </c>
      <c r="Q168" s="100">
        <f>IF(AND(SamplingData[[#This Row],[Total]]&lt;&gt; 0, NOT(ISBLANK(SamplingData[[#This Row],[Losing Candidate]]))),(SamplingData[[#This Row],[Total]]+SamplingData[[#This Row],[Winning Candidate]]-SamplingData[[#This Row],[Losing Candidate]])/(SamplingData[[#Totals],[Winning Candidate]]-SamplingData[[#Totals],[Losing Candidate]]), 0)</f>
        <v>9.4810694646356105E-4</v>
      </c>
      <c r="R168" s="100">
        <f>IF(AND(SamplingData[[#This Row],[Total]]&lt;&gt; 0, NOT(ISBLANK(SamplingData[[#This Row],[Candidate 3]]))),(SamplingData[[#This Row],[Total]]+SamplingData[[#This Row],[Winning Candidate]]-SamplingData[[#This Row],[Candidate 3]])/(SamplingData[[#Totals],[Winning Candidate]]-SamplingData[[#Totals],[Candidate 3]]), 0)</f>
        <v>8.4669225558816892E-4</v>
      </c>
      <c r="S168" s="100">
        <f>IF(AND(SamplingData[[#This Row],[Total]]&lt;&gt; 0, NOT(ISBLANK(SamplingData[[#This Row],[Candidate 4]]))),(SamplingData[[#This Row],[Total]]+SamplingData[[#This Row],[Winning Candidate]]-SamplingData[[#This Row],[Candidate 4]])/(SamplingData[[#Totals],[Winning Candidate]]-SamplingData[[#Totals],[Candidate 4]]), 0)</f>
        <v>0</v>
      </c>
      <c r="T168" s="100">
        <f>IF(AND(SamplingData[[#This Row],[Total]]&lt;&gt; 0, NOT(ISBLANK(SamplingData[[#This Row],[Candidate 5]]))),(SamplingData[[#This Row],[Total]]+SamplingData[[#This Row],[Winning Candidate]]-SamplingData[[#This Row],[Candidate 5]])/(SamplingData[[#Totals],[Winning Candidate]]-SamplingData[[#Totals],[Candidate 5]]), 0)</f>
        <v>0</v>
      </c>
      <c r="U168" s="100">
        <f>IF(AND(SamplingData[[#This Row],[Total]]&lt;&gt; 0, NOT(ISBLANK(SamplingData[[#This Row],[Candidate 6]]))),(SamplingData[[#This Row],[Total]]+SamplingData[[#This Row],[Losing Candidate]]-SamplingData[[#This Row],[Candidate 6]])/(SamplingData[[#Totals],[Winning Candidate]]-SamplingData[[#Totals],[Candidate 6]]), 0)</f>
        <v>0</v>
      </c>
      <c r="V168" s="100">
        <f>IF(AND(SamplingData[[#This Row],[Total]]&lt;&gt; 0, NOT(ISBLANK(SamplingData[[#This Row],[Candidate 7]]))),(SamplingData[[#This Row],[Total]]+SamplingData[[#This Row],[Winning Candidate]]-SamplingData[[#This Row],[Candidate 7]])/(SamplingData[[#Totals],[Winning Candidate]]-SamplingData[[#Totals],[Candidate 7]]), 0)</f>
        <v>0</v>
      </c>
      <c r="W168" s="100">
        <f>IF(AND(SamplingData[[#This Row],[Total]]&lt;&gt; 0, NOT(ISBLANK(SamplingData[[#This Row],[Candidate 8]]))),(SamplingData[[#This Row],[Total]]+SamplingData[[#This Row],[Winning Candidate]]-SamplingData[[#This Row],[Candidate 8]])/(SamplingData[[#Totals],[Winning Candidate]]-SamplingData[[#Totals],[Candidate 8]]), 0)</f>
        <v>0</v>
      </c>
      <c r="X1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8" s="100">
        <f>MAX(SamplingData[[#This Row],[Error Bound (up) - Max. possible relative overstatement - Losing Candidate]:[Error Bound (up) - Max. possible relative overstatement - Candidate 12]])</f>
        <v>9.4810694646356105E-4</v>
      </c>
      <c r="AC168" s="100">
        <f>IF(SamplingData[[#This Row],[Max Error Bound (up)]] = 0,0,SamplingData[[#This Row],[Max Error Bound (up)]]/SamplingData[[#Totals],[Max Error Bound (up)]])</f>
        <v>3.8479446682990784E-4</v>
      </c>
      <c r="AD168" s="104">
        <f>SUM($AC$5:AC168)</f>
        <v>0.16080809247524752</v>
      </c>
      <c r="AE168" s="100" t="str" cm="1">
        <f t="array" ref="AE168">IF(SamplingData[[#This Row],[up/U Selection Probability]] = 0, "Zero", TEXT(SamplingData[[#This Row],[Lower Range]], REPT("0",LEN('General Info'!$B$42))) &amp; " - " &amp; TEXT(SamplingData[[#This Row],[Upper Range]], REPT("0",LEN('General Info'!$B$42))))</f>
        <v>16042 - 16080</v>
      </c>
      <c r="AF168" s="100">
        <f>SamplingData[[#This Row],[Upper Range]]-SamplingData[[#This Row],[Span]]</f>
        <v>16042.329800841762</v>
      </c>
      <c r="AG168" s="100">
        <f>IF(ISNUMBER('General Info'!$B$42), ((SamplingData[[#This Row],[up/U Selection Probability]]) * 'General Info'!$B$44) - 1, 0)</f>
        <v>37.479446682990783</v>
      </c>
      <c r="AH168" s="100">
        <f>IF(ISNUMBER('General Info'!$B$42), (SamplingData[[#This Row],[Running (cumulative) sum]] * ('General Info'!$B$42 -'General Info'!$B$43 + 1)) + 'General Info'!$B$43 - 1, 0)</f>
        <v>16079.809247524752</v>
      </c>
      <c r="AI168" s="100" t="str">
        <f>IF(ISERROR(MATCH(SamplingData[[#This Row],[Batch by Type (p)]],SelectedPrecincts[Batch Name], 0)), "", INDEX(SelectedPrecincts[Draw], MATCH(SamplingData[[#This Row],[Batch by Type (p)]],SelectedPrecincts[Batch Name], 0)))</f>
        <v/>
      </c>
      <c r="AJ168" s="101">
        <f>IF(COUNTIF(SelectedPrecincts[Batch Name],SamplingData[[#This Row],[Batch by Type (p)]]) &lt;&gt; 0, COUNTIF(SelectedPrecincts[Batch Name],SamplingData[[#This Row],[Batch by Type (p)]]), 0)</f>
        <v>0</v>
      </c>
    </row>
    <row r="169" spans="1:36" ht="15" customHeight="1" x14ac:dyDescent="0.35">
      <c r="A169" s="98" t="s">
        <v>380</v>
      </c>
      <c r="B169" s="98">
        <v>12</v>
      </c>
      <c r="C169" s="98">
        <v>1</v>
      </c>
      <c r="D169" s="93">
        <v>1</v>
      </c>
      <c r="E169" s="93"/>
      <c r="F169" s="93"/>
      <c r="G169" s="97"/>
      <c r="H169" s="97"/>
      <c r="I169" s="93"/>
      <c r="J169" s="93"/>
      <c r="K169" s="93"/>
      <c r="L169" s="93"/>
      <c r="M169" s="93"/>
      <c r="N169" s="98">
        <v>0</v>
      </c>
      <c r="O169" s="98">
        <v>0</v>
      </c>
      <c r="P169" s="99">
        <f>SUM(SamplingData[[#This Row],[Winning Candidate]:[Under Votes]])</f>
        <v>14</v>
      </c>
      <c r="Q169" s="100">
        <f>IF(AND(SamplingData[[#This Row],[Total]]&lt;&gt; 0, NOT(ISBLANK(SamplingData[[#This Row],[Losing Candidate]]))),(SamplingData[[#This Row],[Total]]+SamplingData[[#This Row],[Winning Candidate]]-SamplingData[[#This Row],[Losing Candidate]])/(SamplingData[[#Totals],[Winning Candidate]]-SamplingData[[#Totals],[Losing Candidate]]), 0)</f>
        <v>1.5801782441059351E-3</v>
      </c>
      <c r="R169" s="100">
        <f>IF(AND(SamplingData[[#This Row],[Total]]&lt;&gt; 0, NOT(ISBLANK(SamplingData[[#This Row],[Candidate 3]]))),(SamplingData[[#This Row],[Total]]+SamplingData[[#This Row],[Winning Candidate]]-SamplingData[[#This Row],[Candidate 3]])/(SamplingData[[#Totals],[Winning Candidate]]-SamplingData[[#Totals],[Candidate 3]]), 0)</f>
        <v>1.4111537593136149E-3</v>
      </c>
      <c r="S169" s="100">
        <f>IF(AND(SamplingData[[#This Row],[Total]]&lt;&gt; 0, NOT(ISBLANK(SamplingData[[#This Row],[Candidate 4]]))),(SamplingData[[#This Row],[Total]]+SamplingData[[#This Row],[Winning Candidate]]-SamplingData[[#This Row],[Candidate 4]])/(SamplingData[[#Totals],[Winning Candidate]]-SamplingData[[#Totals],[Candidate 4]]), 0)</f>
        <v>0</v>
      </c>
      <c r="T169" s="100">
        <f>IF(AND(SamplingData[[#This Row],[Total]]&lt;&gt; 0, NOT(ISBLANK(SamplingData[[#This Row],[Candidate 5]]))),(SamplingData[[#This Row],[Total]]+SamplingData[[#This Row],[Winning Candidate]]-SamplingData[[#This Row],[Candidate 5]])/(SamplingData[[#Totals],[Winning Candidate]]-SamplingData[[#Totals],[Candidate 5]]), 0)</f>
        <v>0</v>
      </c>
      <c r="U169" s="100">
        <f>IF(AND(SamplingData[[#This Row],[Total]]&lt;&gt; 0, NOT(ISBLANK(SamplingData[[#This Row],[Candidate 6]]))),(SamplingData[[#This Row],[Total]]+SamplingData[[#This Row],[Losing Candidate]]-SamplingData[[#This Row],[Candidate 6]])/(SamplingData[[#Totals],[Winning Candidate]]-SamplingData[[#Totals],[Candidate 6]]), 0)</f>
        <v>0</v>
      </c>
      <c r="V169" s="100">
        <f>IF(AND(SamplingData[[#This Row],[Total]]&lt;&gt; 0, NOT(ISBLANK(SamplingData[[#This Row],[Candidate 7]]))),(SamplingData[[#This Row],[Total]]+SamplingData[[#This Row],[Winning Candidate]]-SamplingData[[#This Row],[Candidate 7]])/(SamplingData[[#Totals],[Winning Candidate]]-SamplingData[[#Totals],[Candidate 7]]), 0)</f>
        <v>0</v>
      </c>
      <c r="W169" s="100">
        <f>IF(AND(SamplingData[[#This Row],[Total]]&lt;&gt; 0, NOT(ISBLANK(SamplingData[[#This Row],[Candidate 8]]))),(SamplingData[[#This Row],[Total]]+SamplingData[[#This Row],[Winning Candidate]]-SamplingData[[#This Row],[Candidate 8]])/(SamplingData[[#Totals],[Winning Candidate]]-SamplingData[[#Totals],[Candidate 8]]), 0)</f>
        <v>0</v>
      </c>
      <c r="X1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9" s="100">
        <f>MAX(SamplingData[[#This Row],[Error Bound (up) - Max. possible relative overstatement - Losing Candidate]:[Error Bound (up) - Max. possible relative overstatement - Candidate 12]])</f>
        <v>1.5801782441059351E-3</v>
      </c>
      <c r="AC169" s="100">
        <f>IF(SamplingData[[#This Row],[Max Error Bound (up)]] = 0,0,SamplingData[[#This Row],[Max Error Bound (up)]]/SamplingData[[#Totals],[Max Error Bound (up)]])</f>
        <v>6.4132411138317967E-4</v>
      </c>
      <c r="AD169" s="104">
        <f>SUM($AC$5:AC169)</f>
        <v>0.1614494165866307</v>
      </c>
      <c r="AE169" s="100" t="str" cm="1">
        <f t="array" ref="AE169">IF(SamplingData[[#This Row],[up/U Selection Probability]] = 0, "Zero", TEXT(SamplingData[[#This Row],[Lower Range]], REPT("0",LEN('General Info'!$B$42))) &amp; " - " &amp; TEXT(SamplingData[[#This Row],[Upper Range]], REPT("0",LEN('General Info'!$B$42))))</f>
        <v>16081 - 16144</v>
      </c>
      <c r="AF169" s="100">
        <f>SamplingData[[#This Row],[Upper Range]]-SamplingData[[#This Row],[Span]]</f>
        <v>16080.809247524752</v>
      </c>
      <c r="AG169" s="100">
        <f>IF(ISNUMBER('General Info'!$B$42), ((SamplingData[[#This Row],[up/U Selection Probability]]) * 'General Info'!$B$44) - 1, 0)</f>
        <v>63.132411138317963</v>
      </c>
      <c r="AH169" s="100">
        <f>IF(ISNUMBER('General Info'!$B$42), (SamplingData[[#This Row],[Running (cumulative) sum]] * ('General Info'!$B$42 -'General Info'!$B$43 + 1)) + 'General Info'!$B$43 - 1, 0)</f>
        <v>16143.94165866307</v>
      </c>
      <c r="AI169" s="100" t="str">
        <f>IF(ISERROR(MATCH(SamplingData[[#This Row],[Batch by Type (p)]],SelectedPrecincts[Batch Name], 0)), "", INDEX(SelectedPrecincts[Draw], MATCH(SamplingData[[#This Row],[Batch by Type (p)]],SelectedPrecincts[Batch Name], 0)))</f>
        <v/>
      </c>
      <c r="AJ169" s="101">
        <f>IF(COUNTIF(SelectedPrecincts[Batch Name],SamplingData[[#This Row],[Batch by Type (p)]]) &lt;&gt; 0, COUNTIF(SelectedPrecincts[Batch Name],SamplingData[[#This Row],[Batch by Type (p)]]), 0)</f>
        <v>0</v>
      </c>
    </row>
    <row r="170" spans="1:36" ht="15" customHeight="1" x14ac:dyDescent="0.35">
      <c r="A170" s="98" t="s">
        <v>381</v>
      </c>
      <c r="B170" s="98">
        <v>2</v>
      </c>
      <c r="C170" s="98">
        <v>2</v>
      </c>
      <c r="D170" s="93">
        <v>0</v>
      </c>
      <c r="E170" s="93"/>
      <c r="F170" s="93"/>
      <c r="G170" s="97"/>
      <c r="H170" s="97"/>
      <c r="I170" s="93"/>
      <c r="J170" s="93"/>
      <c r="K170" s="93"/>
      <c r="L170" s="93"/>
      <c r="M170" s="93"/>
      <c r="N170" s="98">
        <v>0</v>
      </c>
      <c r="O170" s="98">
        <v>0</v>
      </c>
      <c r="P170" s="99">
        <f>SUM(SamplingData[[#This Row],[Winning Candidate]:[Under Votes]])</f>
        <v>4</v>
      </c>
      <c r="Q170"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2.5282851905694963E-4</v>
      </c>
      <c r="R170" s="100">
        <f>IF(AND(SamplingData[[#This Row],[Total]]&lt;&gt; 0, NOT(ISBLANK(SamplingData[[#This Row],[Candidate 3]]))),(SamplingData[[#This Row],[Total]]+SamplingData[[#This Row],[Winning Candidate]]-SamplingData[[#This Row],[Candidate 3]])/(SamplingData[[#Totals],[Winning Candidate]]-SamplingData[[#Totals],[Candidate 3]]), 0)</f>
        <v>3.3867690223526756E-4</v>
      </c>
      <c r="S170" s="100">
        <f>IF(AND(SamplingData[[#This Row],[Total]]&lt;&gt; 0, NOT(ISBLANK(SamplingData[[#This Row],[Candidate 4]]))),(SamplingData[[#This Row],[Total]]+SamplingData[[#This Row],[Winning Candidate]]-SamplingData[[#This Row],[Candidate 4]])/(SamplingData[[#Totals],[Winning Candidate]]-SamplingData[[#Totals],[Candidate 4]]), 0)</f>
        <v>0</v>
      </c>
      <c r="T170" s="100">
        <f>IF(AND(SamplingData[[#This Row],[Total]]&lt;&gt; 0, NOT(ISBLANK(SamplingData[[#This Row],[Candidate 5]]))),(SamplingData[[#This Row],[Total]]+SamplingData[[#This Row],[Winning Candidate]]-SamplingData[[#This Row],[Candidate 5]])/(SamplingData[[#Totals],[Winning Candidate]]-SamplingData[[#Totals],[Candidate 5]]), 0)</f>
        <v>0</v>
      </c>
      <c r="U170" s="100">
        <f>IF(AND(SamplingData[[#This Row],[Total]]&lt;&gt; 0, NOT(ISBLANK(SamplingData[[#This Row],[Candidate 6]]))),(SamplingData[[#This Row],[Total]]+SamplingData[[#This Row],[Losing Candidate]]-SamplingData[[#This Row],[Candidate 6]])/(SamplingData[[#Totals],[Winning Candidate]]-SamplingData[[#Totals],[Candidate 6]]), 0)</f>
        <v>0</v>
      </c>
      <c r="V170" s="100">
        <f>IF(AND(SamplingData[[#This Row],[Total]]&lt;&gt; 0, NOT(ISBLANK(SamplingData[[#This Row],[Candidate 7]]))),(SamplingData[[#This Row],[Total]]+SamplingData[[#This Row],[Winning Candidate]]-SamplingData[[#This Row],[Candidate 7]])/(SamplingData[[#Totals],[Winning Candidate]]-SamplingData[[#Totals],[Candidate 7]]), 0)</f>
        <v>0</v>
      </c>
      <c r="W170" s="100">
        <f>IF(AND(SamplingData[[#This Row],[Total]]&lt;&gt; 0, NOT(ISBLANK(SamplingData[[#This Row],[Candidate 8]]))),(SamplingData[[#This Row],[Total]]+SamplingData[[#This Row],[Winning Candidate]]-SamplingData[[#This Row],[Candidate 8]])/(SamplingData[[#Totals],[Winning Candidate]]-SamplingData[[#Totals],[Candidate 8]]), 0)</f>
        <v>0</v>
      </c>
      <c r="X1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0" s="100">
        <f>MAX(SamplingData[[#This Row],[Error Bound (up) - Max. possible relative overstatement - Losing Candidate]:[Error Bound (up) - Max. possible relative overstatement - Candidate 12]])</f>
        <v>3.3867690223526756E-4</v>
      </c>
      <c r="AC170" s="100">
        <f>IF(SamplingData[[#This Row],[Max Error Bound (up)]] = 0,0,SamplingData[[#This Row],[Max Error Bound (up)]]/SamplingData[[#Totals],[Max Error Bound (up)]])</f>
        <v>1.3745390064836242E-4</v>
      </c>
      <c r="AD170" s="104">
        <f>SUM($AC$5:AC170)</f>
        <v>0.16158687048727907</v>
      </c>
      <c r="AE170" s="100" t="str" cm="1">
        <f t="array" ref="AE170">IF(SamplingData[[#This Row],[up/U Selection Probability]] = 0, "Zero", TEXT(SamplingData[[#This Row],[Lower Range]], REPT("0",LEN('General Info'!$B$42))) &amp; " - " &amp; TEXT(SamplingData[[#This Row],[Upper Range]], REPT("0",LEN('General Info'!$B$42))))</f>
        <v>16145 - 16158</v>
      </c>
      <c r="AF170" s="100">
        <f>SamplingData[[#This Row],[Upper Range]]-SamplingData[[#This Row],[Span]]</f>
        <v>16144.94165866307</v>
      </c>
      <c r="AG170" s="100">
        <f>IF(ISNUMBER('General Info'!$B$42), ((SamplingData[[#This Row],[up/U Selection Probability]]) * 'General Info'!$B$44) - 1, 0)</f>
        <v>12.745390064836242</v>
      </c>
      <c r="AH170" s="100">
        <f>IF(ISNUMBER('General Info'!$B$42), (SamplingData[[#This Row],[Running (cumulative) sum]] * ('General Info'!$B$42 -'General Info'!$B$43 + 1)) + 'General Info'!$B$43 - 1, 0)</f>
        <v>16157.687048727907</v>
      </c>
      <c r="AI170" s="100" t="str">
        <f>IF(ISERROR(MATCH(SamplingData[[#This Row],[Batch by Type (p)]],SelectedPrecincts[Batch Name], 0)), "", INDEX(SelectedPrecincts[Draw], MATCH(SamplingData[[#This Row],[Batch by Type (p)]],SelectedPrecincts[Batch Name], 0)))</f>
        <v/>
      </c>
      <c r="AJ170" s="101">
        <f>IF(COUNTIF(SelectedPrecincts[Batch Name],SamplingData[[#This Row],[Batch by Type (p)]]) &lt;&gt; 0, COUNTIF(SelectedPrecincts[Batch Name],SamplingData[[#This Row],[Batch by Type (p)]]), 0)</f>
        <v>0</v>
      </c>
    </row>
    <row r="171" spans="1:36" ht="15" customHeight="1" x14ac:dyDescent="0.35">
      <c r="A171" s="98" t="s">
        <v>382</v>
      </c>
      <c r="B171" s="98">
        <v>6</v>
      </c>
      <c r="C171" s="98">
        <v>5</v>
      </c>
      <c r="D171" s="93">
        <v>0</v>
      </c>
      <c r="E171" s="93"/>
      <c r="F171" s="93"/>
      <c r="G171" s="97"/>
      <c r="H171" s="97"/>
      <c r="I171" s="93"/>
      <c r="J171" s="93"/>
      <c r="K171" s="93"/>
      <c r="L171" s="93"/>
      <c r="M171" s="93"/>
      <c r="N171" s="98">
        <v>0</v>
      </c>
      <c r="O171" s="98">
        <v>0</v>
      </c>
      <c r="P171" s="99">
        <f>SUM(SamplingData[[#This Row],[Winning Candidate]:[Under Votes]])</f>
        <v>11</v>
      </c>
      <c r="Q171"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71" s="100">
        <f>IF(AND(SamplingData[[#This Row],[Total]]&lt;&gt; 0, NOT(ISBLANK(SamplingData[[#This Row],[Candidate 3]]))),(SamplingData[[#This Row],[Total]]+SamplingData[[#This Row],[Winning Candidate]]-SamplingData[[#This Row],[Candidate 3]])/(SamplingData[[#Totals],[Winning Candidate]]-SamplingData[[#Totals],[Candidate 3]]), 0)</f>
        <v>9.5958455633325809E-4</v>
      </c>
      <c r="S171" s="100">
        <f>IF(AND(SamplingData[[#This Row],[Total]]&lt;&gt; 0, NOT(ISBLANK(SamplingData[[#This Row],[Candidate 4]]))),(SamplingData[[#This Row],[Total]]+SamplingData[[#This Row],[Winning Candidate]]-SamplingData[[#This Row],[Candidate 4]])/(SamplingData[[#Totals],[Winning Candidate]]-SamplingData[[#Totals],[Candidate 4]]), 0)</f>
        <v>0</v>
      </c>
      <c r="T171" s="100">
        <f>IF(AND(SamplingData[[#This Row],[Total]]&lt;&gt; 0, NOT(ISBLANK(SamplingData[[#This Row],[Candidate 5]]))),(SamplingData[[#This Row],[Total]]+SamplingData[[#This Row],[Winning Candidate]]-SamplingData[[#This Row],[Candidate 5]])/(SamplingData[[#Totals],[Winning Candidate]]-SamplingData[[#Totals],[Candidate 5]]), 0)</f>
        <v>0</v>
      </c>
      <c r="U171" s="100">
        <f>IF(AND(SamplingData[[#This Row],[Total]]&lt;&gt; 0, NOT(ISBLANK(SamplingData[[#This Row],[Candidate 6]]))),(SamplingData[[#This Row],[Total]]+SamplingData[[#This Row],[Losing Candidate]]-SamplingData[[#This Row],[Candidate 6]])/(SamplingData[[#Totals],[Winning Candidate]]-SamplingData[[#Totals],[Candidate 6]]), 0)</f>
        <v>0</v>
      </c>
      <c r="V171" s="100">
        <f>IF(AND(SamplingData[[#This Row],[Total]]&lt;&gt; 0, NOT(ISBLANK(SamplingData[[#This Row],[Candidate 7]]))),(SamplingData[[#This Row],[Total]]+SamplingData[[#This Row],[Winning Candidate]]-SamplingData[[#This Row],[Candidate 7]])/(SamplingData[[#Totals],[Winning Candidate]]-SamplingData[[#Totals],[Candidate 7]]), 0)</f>
        <v>0</v>
      </c>
      <c r="W171" s="100">
        <f>IF(AND(SamplingData[[#This Row],[Total]]&lt;&gt; 0, NOT(ISBLANK(SamplingData[[#This Row],[Candidate 8]]))),(SamplingData[[#This Row],[Total]]+SamplingData[[#This Row],[Winning Candidate]]-SamplingData[[#This Row],[Candidate 8]])/(SamplingData[[#Totals],[Winning Candidate]]-SamplingData[[#Totals],[Candidate 8]]), 0)</f>
        <v>0</v>
      </c>
      <c r="X1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1" s="100">
        <f>MAX(SamplingData[[#This Row],[Error Bound (up) - Max. possible relative overstatement - Losing Candidate]:[Error Bound (up) - Max. possible relative overstatement - Candidate 12]])</f>
        <v>9.5958455633325809E-4</v>
      </c>
      <c r="AC171" s="100">
        <f>IF(SamplingData[[#This Row],[Max Error Bound (up)]] = 0,0,SamplingData[[#This Row],[Max Error Bound (up)]]/SamplingData[[#Totals],[Max Error Bound (up)]])</f>
        <v>3.8945271850369354E-4</v>
      </c>
      <c r="AD171" s="104">
        <f>SUM($AC$5:AC171)</f>
        <v>0.16197632320578276</v>
      </c>
      <c r="AE171" s="100" t="str" cm="1">
        <f t="array" ref="AE171">IF(SamplingData[[#This Row],[up/U Selection Probability]] = 0, "Zero", TEXT(SamplingData[[#This Row],[Lower Range]], REPT("0",LEN('General Info'!$B$42))) &amp; " - " &amp; TEXT(SamplingData[[#This Row],[Upper Range]], REPT("0",LEN('General Info'!$B$42))))</f>
        <v>16159 - 16197</v>
      </c>
      <c r="AF171" s="100">
        <f>SamplingData[[#This Row],[Upper Range]]-SamplingData[[#This Row],[Span]]</f>
        <v>16158.687048727907</v>
      </c>
      <c r="AG171" s="100">
        <f>IF(ISNUMBER('General Info'!$B$42), ((SamplingData[[#This Row],[up/U Selection Probability]]) * 'General Info'!$B$44) - 1, 0)</f>
        <v>37.945271850369352</v>
      </c>
      <c r="AH171" s="100">
        <f>IF(ISNUMBER('General Info'!$B$42), (SamplingData[[#This Row],[Running (cumulative) sum]] * ('General Info'!$B$42 -'General Info'!$B$43 + 1)) + 'General Info'!$B$43 - 1, 0)</f>
        <v>16196.632320578276</v>
      </c>
      <c r="AI171" s="100" t="str">
        <f>IF(ISERROR(MATCH(SamplingData[[#This Row],[Batch by Type (p)]],SelectedPrecincts[Batch Name], 0)), "", INDEX(SelectedPrecincts[Draw], MATCH(SamplingData[[#This Row],[Batch by Type (p)]],SelectedPrecincts[Batch Name], 0)))</f>
        <v/>
      </c>
      <c r="AJ171" s="101">
        <f>IF(COUNTIF(SelectedPrecincts[Batch Name],SamplingData[[#This Row],[Batch by Type (p)]]) &lt;&gt; 0, COUNTIF(SelectedPrecincts[Batch Name],SamplingData[[#This Row],[Batch by Type (p)]]), 0)</f>
        <v>0</v>
      </c>
    </row>
    <row r="172" spans="1:36" ht="15" customHeight="1" x14ac:dyDescent="0.35">
      <c r="A172" s="98" t="s">
        <v>383</v>
      </c>
      <c r="B172" s="98">
        <v>5</v>
      </c>
      <c r="C172" s="98">
        <v>6</v>
      </c>
      <c r="D172" s="93">
        <v>2</v>
      </c>
      <c r="E172" s="93"/>
      <c r="F172" s="93"/>
      <c r="G172" s="97"/>
      <c r="H172" s="97"/>
      <c r="I172" s="93"/>
      <c r="J172" s="93"/>
      <c r="K172" s="93"/>
      <c r="L172" s="93"/>
      <c r="M172" s="93"/>
      <c r="N172" s="98">
        <v>0</v>
      </c>
      <c r="O172" s="98">
        <v>0</v>
      </c>
      <c r="P172" s="99">
        <f>SUM(SamplingData[[#This Row],[Winning Candidate]:[Under Votes]])</f>
        <v>13</v>
      </c>
      <c r="Q172"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72" s="100">
        <f>IF(AND(SamplingData[[#This Row],[Total]]&lt;&gt; 0, NOT(ISBLANK(SamplingData[[#This Row],[Candidate 3]]))),(SamplingData[[#This Row],[Total]]+SamplingData[[#This Row],[Winning Candidate]]-SamplingData[[#This Row],[Candidate 3]])/(SamplingData[[#Totals],[Winning Candidate]]-SamplingData[[#Totals],[Candidate 3]]), 0)</f>
        <v>9.0313840596071345E-4</v>
      </c>
      <c r="S172" s="100">
        <f>IF(AND(SamplingData[[#This Row],[Total]]&lt;&gt; 0, NOT(ISBLANK(SamplingData[[#This Row],[Candidate 4]]))),(SamplingData[[#This Row],[Total]]+SamplingData[[#This Row],[Winning Candidate]]-SamplingData[[#This Row],[Candidate 4]])/(SamplingData[[#Totals],[Winning Candidate]]-SamplingData[[#Totals],[Candidate 4]]), 0)</f>
        <v>0</v>
      </c>
      <c r="T172" s="100">
        <f>IF(AND(SamplingData[[#This Row],[Total]]&lt;&gt; 0, NOT(ISBLANK(SamplingData[[#This Row],[Candidate 5]]))),(SamplingData[[#This Row],[Total]]+SamplingData[[#This Row],[Winning Candidate]]-SamplingData[[#This Row],[Candidate 5]])/(SamplingData[[#Totals],[Winning Candidate]]-SamplingData[[#Totals],[Candidate 5]]), 0)</f>
        <v>0</v>
      </c>
      <c r="U172" s="100">
        <f>IF(AND(SamplingData[[#This Row],[Total]]&lt;&gt; 0, NOT(ISBLANK(SamplingData[[#This Row],[Candidate 6]]))),(SamplingData[[#This Row],[Total]]+SamplingData[[#This Row],[Losing Candidate]]-SamplingData[[#This Row],[Candidate 6]])/(SamplingData[[#Totals],[Winning Candidate]]-SamplingData[[#Totals],[Candidate 6]]), 0)</f>
        <v>0</v>
      </c>
      <c r="V172" s="100">
        <f>IF(AND(SamplingData[[#This Row],[Total]]&lt;&gt; 0, NOT(ISBLANK(SamplingData[[#This Row],[Candidate 7]]))),(SamplingData[[#This Row],[Total]]+SamplingData[[#This Row],[Winning Candidate]]-SamplingData[[#This Row],[Candidate 7]])/(SamplingData[[#Totals],[Winning Candidate]]-SamplingData[[#Totals],[Candidate 7]]), 0)</f>
        <v>0</v>
      </c>
      <c r="W172" s="100">
        <f>IF(AND(SamplingData[[#This Row],[Total]]&lt;&gt; 0, NOT(ISBLANK(SamplingData[[#This Row],[Candidate 8]]))),(SamplingData[[#This Row],[Total]]+SamplingData[[#This Row],[Winning Candidate]]-SamplingData[[#This Row],[Candidate 8]])/(SamplingData[[#Totals],[Winning Candidate]]-SamplingData[[#Totals],[Candidate 8]]), 0)</f>
        <v>0</v>
      </c>
      <c r="X1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2" s="100">
        <f>MAX(SamplingData[[#This Row],[Error Bound (up) - Max. possible relative overstatement - Losing Candidate]:[Error Bound (up) - Max. possible relative overstatement - Candidate 12]])</f>
        <v>9.0313840596071345E-4</v>
      </c>
      <c r="AC172" s="100">
        <f>IF(SamplingData[[#This Row],[Max Error Bound (up)]] = 0,0,SamplingData[[#This Row],[Max Error Bound (up)]]/SamplingData[[#Totals],[Max Error Bound (up)]])</f>
        <v>3.6654373506229981E-4</v>
      </c>
      <c r="AD172" s="104">
        <f>SUM($AC$5:AC172)</f>
        <v>0.16234286694084507</v>
      </c>
      <c r="AE172" s="100" t="str" cm="1">
        <f t="array" ref="AE172">IF(SamplingData[[#This Row],[up/U Selection Probability]] = 0, "Zero", TEXT(SamplingData[[#This Row],[Lower Range]], REPT("0",LEN('General Info'!$B$42))) &amp; " - " &amp; TEXT(SamplingData[[#This Row],[Upper Range]], REPT("0",LEN('General Info'!$B$42))))</f>
        <v>16198 - 16233</v>
      </c>
      <c r="AF172" s="100">
        <f>SamplingData[[#This Row],[Upper Range]]-SamplingData[[#This Row],[Span]]</f>
        <v>16197.632320578277</v>
      </c>
      <c r="AG172" s="100">
        <f>IF(ISNUMBER('General Info'!$B$42), ((SamplingData[[#This Row],[up/U Selection Probability]]) * 'General Info'!$B$44) - 1, 0)</f>
        <v>35.65437350622998</v>
      </c>
      <c r="AH172" s="100">
        <f>IF(ISNUMBER('General Info'!$B$42), (SamplingData[[#This Row],[Running (cumulative) sum]] * ('General Info'!$B$42 -'General Info'!$B$43 + 1)) + 'General Info'!$B$43 - 1, 0)</f>
        <v>16233.286694084507</v>
      </c>
      <c r="AI172" s="100" t="str">
        <f>IF(ISERROR(MATCH(SamplingData[[#This Row],[Batch by Type (p)]],SelectedPrecincts[Batch Name], 0)), "", INDEX(SelectedPrecincts[Draw], MATCH(SamplingData[[#This Row],[Batch by Type (p)]],SelectedPrecincts[Batch Name], 0)))</f>
        <v/>
      </c>
      <c r="AJ172" s="101">
        <f>IF(COUNTIF(SelectedPrecincts[Batch Name],SamplingData[[#This Row],[Batch by Type (p)]]) &lt;&gt; 0, COUNTIF(SelectedPrecincts[Batch Name],SamplingData[[#This Row],[Batch by Type (p)]]), 0)</f>
        <v>0</v>
      </c>
    </row>
    <row r="173" spans="1:36" ht="15" customHeight="1" x14ac:dyDescent="0.35">
      <c r="A173" s="98" t="s">
        <v>384</v>
      </c>
      <c r="B173" s="98">
        <v>10</v>
      </c>
      <c r="C173" s="98">
        <v>2</v>
      </c>
      <c r="D173" s="93">
        <v>1</v>
      </c>
      <c r="E173" s="93"/>
      <c r="F173" s="93"/>
      <c r="G173" s="97"/>
      <c r="H173" s="97"/>
      <c r="I173" s="93"/>
      <c r="J173" s="93"/>
      <c r="K173" s="93"/>
      <c r="L173" s="93"/>
      <c r="M173" s="93"/>
      <c r="N173" s="98">
        <v>0</v>
      </c>
      <c r="O173" s="98">
        <v>0</v>
      </c>
      <c r="P173" s="99">
        <f>SUM(SamplingData[[#This Row],[Winning Candidate]:[Under Votes]])</f>
        <v>13</v>
      </c>
      <c r="Q173" s="100">
        <f>IF(AND(SamplingData[[#This Row],[Total]]&lt;&gt; 0, NOT(ISBLANK(SamplingData[[#This Row],[Losing Candidate]]))),(SamplingData[[#This Row],[Total]]+SamplingData[[#This Row],[Winning Candidate]]-SamplingData[[#This Row],[Losing Candidate]])/(SamplingData[[#Totals],[Winning Candidate]]-SamplingData[[#Totals],[Losing Candidate]]), 0)</f>
        <v>1.3273497250489855E-3</v>
      </c>
      <c r="R173" s="100">
        <f>IF(AND(SamplingData[[#This Row],[Total]]&lt;&gt; 0, NOT(ISBLANK(SamplingData[[#This Row],[Candidate 3]]))),(SamplingData[[#This Row],[Total]]+SamplingData[[#This Row],[Winning Candidate]]-SamplingData[[#This Row],[Candidate 3]])/(SamplingData[[#Totals],[Winning Candidate]]-SamplingData[[#Totals],[Candidate 3]]), 0)</f>
        <v>1.241815308195981E-3</v>
      </c>
      <c r="S173" s="100">
        <f>IF(AND(SamplingData[[#This Row],[Total]]&lt;&gt; 0, NOT(ISBLANK(SamplingData[[#This Row],[Candidate 4]]))),(SamplingData[[#This Row],[Total]]+SamplingData[[#This Row],[Winning Candidate]]-SamplingData[[#This Row],[Candidate 4]])/(SamplingData[[#Totals],[Winning Candidate]]-SamplingData[[#Totals],[Candidate 4]]), 0)</f>
        <v>0</v>
      </c>
      <c r="T173" s="100">
        <f>IF(AND(SamplingData[[#This Row],[Total]]&lt;&gt; 0, NOT(ISBLANK(SamplingData[[#This Row],[Candidate 5]]))),(SamplingData[[#This Row],[Total]]+SamplingData[[#This Row],[Winning Candidate]]-SamplingData[[#This Row],[Candidate 5]])/(SamplingData[[#Totals],[Winning Candidate]]-SamplingData[[#Totals],[Candidate 5]]), 0)</f>
        <v>0</v>
      </c>
      <c r="U173" s="100">
        <f>IF(AND(SamplingData[[#This Row],[Total]]&lt;&gt; 0, NOT(ISBLANK(SamplingData[[#This Row],[Candidate 6]]))),(SamplingData[[#This Row],[Total]]+SamplingData[[#This Row],[Losing Candidate]]-SamplingData[[#This Row],[Candidate 6]])/(SamplingData[[#Totals],[Winning Candidate]]-SamplingData[[#Totals],[Candidate 6]]), 0)</f>
        <v>0</v>
      </c>
      <c r="V173" s="100">
        <f>IF(AND(SamplingData[[#This Row],[Total]]&lt;&gt; 0, NOT(ISBLANK(SamplingData[[#This Row],[Candidate 7]]))),(SamplingData[[#This Row],[Total]]+SamplingData[[#This Row],[Winning Candidate]]-SamplingData[[#This Row],[Candidate 7]])/(SamplingData[[#Totals],[Winning Candidate]]-SamplingData[[#Totals],[Candidate 7]]), 0)</f>
        <v>0</v>
      </c>
      <c r="W173" s="100">
        <f>IF(AND(SamplingData[[#This Row],[Total]]&lt;&gt; 0, NOT(ISBLANK(SamplingData[[#This Row],[Candidate 8]]))),(SamplingData[[#This Row],[Total]]+SamplingData[[#This Row],[Winning Candidate]]-SamplingData[[#This Row],[Candidate 8]])/(SamplingData[[#Totals],[Winning Candidate]]-SamplingData[[#Totals],[Candidate 8]]), 0)</f>
        <v>0</v>
      </c>
      <c r="X1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3" s="100">
        <f>MAX(SamplingData[[#This Row],[Error Bound (up) - Max. possible relative overstatement - Losing Candidate]:[Error Bound (up) - Max. possible relative overstatement - Candidate 12]])</f>
        <v>1.3273497250489855E-3</v>
      </c>
      <c r="AC173" s="100">
        <f>IF(SamplingData[[#This Row],[Max Error Bound (up)]] = 0,0,SamplingData[[#This Row],[Max Error Bound (up)]]/SamplingData[[#Totals],[Max Error Bound (up)]])</f>
        <v>5.3871225356187094E-4</v>
      </c>
      <c r="AD173" s="104">
        <f>SUM($AC$5:AC173)</f>
        <v>0.16288157919440693</v>
      </c>
      <c r="AE173" s="100" t="str" cm="1">
        <f t="array" ref="AE173">IF(SamplingData[[#This Row],[up/U Selection Probability]] = 0, "Zero", TEXT(SamplingData[[#This Row],[Lower Range]], REPT("0",LEN('General Info'!$B$42))) &amp; " - " &amp; TEXT(SamplingData[[#This Row],[Upper Range]], REPT("0",LEN('General Info'!$B$42))))</f>
        <v>16234 - 16287</v>
      </c>
      <c r="AF173" s="100">
        <f>SamplingData[[#This Row],[Upper Range]]-SamplingData[[#This Row],[Span]]</f>
        <v>16234.286694084505</v>
      </c>
      <c r="AG173" s="100">
        <f>IF(ISNUMBER('General Info'!$B$42), ((SamplingData[[#This Row],[up/U Selection Probability]]) * 'General Info'!$B$44) - 1, 0)</f>
        <v>52.871225356187097</v>
      </c>
      <c r="AH173" s="100">
        <f>IF(ISNUMBER('General Info'!$B$42), (SamplingData[[#This Row],[Running (cumulative) sum]] * ('General Info'!$B$42 -'General Info'!$B$43 + 1)) + 'General Info'!$B$43 - 1, 0)</f>
        <v>16287.157919440693</v>
      </c>
      <c r="AI173" s="100" t="str">
        <f>IF(ISERROR(MATCH(SamplingData[[#This Row],[Batch by Type (p)]],SelectedPrecincts[Batch Name], 0)), "", INDEX(SelectedPrecincts[Draw], MATCH(SamplingData[[#This Row],[Batch by Type (p)]],SelectedPrecincts[Batch Name], 0)))</f>
        <v/>
      </c>
      <c r="AJ173" s="101">
        <f>IF(COUNTIF(SelectedPrecincts[Batch Name],SamplingData[[#This Row],[Batch by Type (p)]]) &lt;&gt; 0, COUNTIF(SelectedPrecincts[Batch Name],SamplingData[[#This Row],[Batch by Type (p)]]), 0)</f>
        <v>0</v>
      </c>
    </row>
    <row r="174" spans="1:36" ht="15" customHeight="1" x14ac:dyDescent="0.35">
      <c r="A174" s="98" t="s">
        <v>385</v>
      </c>
      <c r="B174" s="98">
        <v>6</v>
      </c>
      <c r="C174" s="98">
        <v>3</v>
      </c>
      <c r="D174" s="93">
        <v>0</v>
      </c>
      <c r="E174" s="93"/>
      <c r="F174" s="93"/>
      <c r="G174" s="97"/>
      <c r="H174" s="97"/>
      <c r="I174" s="93"/>
      <c r="J174" s="93"/>
      <c r="K174" s="93"/>
      <c r="L174" s="93"/>
      <c r="M174" s="93"/>
      <c r="N174" s="98">
        <v>0</v>
      </c>
      <c r="O174" s="98">
        <v>0</v>
      </c>
      <c r="P174" s="99">
        <f>SUM(SamplingData[[#This Row],[Winning Candidate]:[Under Votes]])</f>
        <v>9</v>
      </c>
      <c r="Q174"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74" s="100">
        <f>IF(AND(SamplingData[[#This Row],[Total]]&lt;&gt; 0, NOT(ISBLANK(SamplingData[[#This Row],[Candidate 3]]))),(SamplingData[[#This Row],[Total]]+SamplingData[[#This Row],[Winning Candidate]]-SamplingData[[#This Row],[Candidate 3]])/(SamplingData[[#Totals],[Winning Candidate]]-SamplingData[[#Totals],[Candidate 3]]), 0)</f>
        <v>8.4669225558816892E-4</v>
      </c>
      <c r="S174" s="100">
        <f>IF(AND(SamplingData[[#This Row],[Total]]&lt;&gt; 0, NOT(ISBLANK(SamplingData[[#This Row],[Candidate 4]]))),(SamplingData[[#This Row],[Total]]+SamplingData[[#This Row],[Winning Candidate]]-SamplingData[[#This Row],[Candidate 4]])/(SamplingData[[#Totals],[Winning Candidate]]-SamplingData[[#Totals],[Candidate 4]]), 0)</f>
        <v>0</v>
      </c>
      <c r="T174" s="100">
        <f>IF(AND(SamplingData[[#This Row],[Total]]&lt;&gt; 0, NOT(ISBLANK(SamplingData[[#This Row],[Candidate 5]]))),(SamplingData[[#This Row],[Total]]+SamplingData[[#This Row],[Winning Candidate]]-SamplingData[[#This Row],[Candidate 5]])/(SamplingData[[#Totals],[Winning Candidate]]-SamplingData[[#Totals],[Candidate 5]]), 0)</f>
        <v>0</v>
      </c>
      <c r="U174" s="100">
        <f>IF(AND(SamplingData[[#This Row],[Total]]&lt;&gt; 0, NOT(ISBLANK(SamplingData[[#This Row],[Candidate 6]]))),(SamplingData[[#This Row],[Total]]+SamplingData[[#This Row],[Losing Candidate]]-SamplingData[[#This Row],[Candidate 6]])/(SamplingData[[#Totals],[Winning Candidate]]-SamplingData[[#Totals],[Candidate 6]]), 0)</f>
        <v>0</v>
      </c>
      <c r="V174" s="100">
        <f>IF(AND(SamplingData[[#This Row],[Total]]&lt;&gt; 0, NOT(ISBLANK(SamplingData[[#This Row],[Candidate 7]]))),(SamplingData[[#This Row],[Total]]+SamplingData[[#This Row],[Winning Candidate]]-SamplingData[[#This Row],[Candidate 7]])/(SamplingData[[#Totals],[Winning Candidate]]-SamplingData[[#Totals],[Candidate 7]]), 0)</f>
        <v>0</v>
      </c>
      <c r="W174" s="100">
        <f>IF(AND(SamplingData[[#This Row],[Total]]&lt;&gt; 0, NOT(ISBLANK(SamplingData[[#This Row],[Candidate 8]]))),(SamplingData[[#This Row],[Total]]+SamplingData[[#This Row],[Winning Candidate]]-SamplingData[[#This Row],[Candidate 8]])/(SamplingData[[#Totals],[Winning Candidate]]-SamplingData[[#Totals],[Candidate 8]]), 0)</f>
        <v>0</v>
      </c>
      <c r="X1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4" s="100">
        <f>MAX(SamplingData[[#This Row],[Error Bound (up) - Max. possible relative overstatement - Losing Candidate]:[Error Bound (up) - Max. possible relative overstatement - Candidate 12]])</f>
        <v>8.4669225558816892E-4</v>
      </c>
      <c r="AC174" s="100">
        <f>IF(SamplingData[[#This Row],[Max Error Bound (up)]] = 0,0,SamplingData[[#This Row],[Max Error Bound (up)]]/SamplingData[[#Totals],[Max Error Bound (up)]])</f>
        <v>3.4363475162090608E-4</v>
      </c>
      <c r="AD174" s="104">
        <f>SUM($AC$5:AC174)</f>
        <v>0.16322521394602785</v>
      </c>
      <c r="AE174" s="100" t="str" cm="1">
        <f t="array" ref="AE174">IF(SamplingData[[#This Row],[up/U Selection Probability]] = 0, "Zero", TEXT(SamplingData[[#This Row],[Lower Range]], REPT("0",LEN('General Info'!$B$42))) &amp; " - " &amp; TEXT(SamplingData[[#This Row],[Upper Range]], REPT("0",LEN('General Info'!$B$42))))</f>
        <v>16288 - 16322</v>
      </c>
      <c r="AF174" s="100">
        <f>SamplingData[[#This Row],[Upper Range]]-SamplingData[[#This Row],[Span]]</f>
        <v>16288.157919440695</v>
      </c>
      <c r="AG174" s="100">
        <f>IF(ISNUMBER('General Info'!$B$42), ((SamplingData[[#This Row],[up/U Selection Probability]]) * 'General Info'!$B$44) - 1, 0)</f>
        <v>33.363475162090609</v>
      </c>
      <c r="AH174" s="100">
        <f>IF(ISNUMBER('General Info'!$B$42), (SamplingData[[#This Row],[Running (cumulative) sum]] * ('General Info'!$B$42 -'General Info'!$B$43 + 1)) + 'General Info'!$B$43 - 1, 0)</f>
        <v>16321.521394602785</v>
      </c>
      <c r="AI174" s="100" t="str">
        <f>IF(ISERROR(MATCH(SamplingData[[#This Row],[Batch by Type (p)]],SelectedPrecincts[Batch Name], 0)), "", INDEX(SelectedPrecincts[Draw], MATCH(SamplingData[[#This Row],[Batch by Type (p)]],SelectedPrecincts[Batch Name], 0)))</f>
        <v/>
      </c>
      <c r="AJ174" s="101">
        <f>IF(COUNTIF(SelectedPrecincts[Batch Name],SamplingData[[#This Row],[Batch by Type (p)]]) &lt;&gt; 0, COUNTIF(SelectedPrecincts[Batch Name],SamplingData[[#This Row],[Batch by Type (p)]]), 0)</f>
        <v>0</v>
      </c>
    </row>
    <row r="175" spans="1:36" ht="15" customHeight="1" x14ac:dyDescent="0.35">
      <c r="A175" s="98" t="s">
        <v>386</v>
      </c>
      <c r="B175" s="98">
        <v>1</v>
      </c>
      <c r="C175" s="98">
        <v>1</v>
      </c>
      <c r="D175" s="93">
        <v>2</v>
      </c>
      <c r="E175" s="93"/>
      <c r="F175" s="93"/>
      <c r="G175" s="97"/>
      <c r="H175" s="97"/>
      <c r="I175" s="93"/>
      <c r="J175" s="93"/>
      <c r="K175" s="93"/>
      <c r="L175" s="93"/>
      <c r="M175" s="93"/>
      <c r="N175" s="98">
        <v>0</v>
      </c>
      <c r="O175" s="98">
        <v>0</v>
      </c>
      <c r="P175" s="99">
        <f>SUM(SamplingData[[#This Row],[Winning Candidate]:[Under Votes]])</f>
        <v>4</v>
      </c>
      <c r="Q175"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2.5282851905694963E-4</v>
      </c>
      <c r="R175" s="100">
        <f>IF(AND(SamplingData[[#This Row],[Total]]&lt;&gt; 0, NOT(ISBLANK(SamplingData[[#This Row],[Candidate 3]]))),(SamplingData[[#This Row],[Total]]+SamplingData[[#This Row],[Winning Candidate]]-SamplingData[[#This Row],[Candidate 3]])/(SamplingData[[#Totals],[Winning Candidate]]-SamplingData[[#Totals],[Candidate 3]]), 0)</f>
        <v>1.6933845111763378E-4</v>
      </c>
      <c r="S175" s="100">
        <f>IF(AND(SamplingData[[#This Row],[Total]]&lt;&gt; 0, NOT(ISBLANK(SamplingData[[#This Row],[Candidate 4]]))),(SamplingData[[#This Row],[Total]]+SamplingData[[#This Row],[Winning Candidate]]-SamplingData[[#This Row],[Candidate 4]])/(SamplingData[[#Totals],[Winning Candidate]]-SamplingData[[#Totals],[Candidate 4]]), 0)</f>
        <v>0</v>
      </c>
      <c r="T175" s="100">
        <f>IF(AND(SamplingData[[#This Row],[Total]]&lt;&gt; 0, NOT(ISBLANK(SamplingData[[#This Row],[Candidate 5]]))),(SamplingData[[#This Row],[Total]]+SamplingData[[#This Row],[Winning Candidate]]-SamplingData[[#This Row],[Candidate 5]])/(SamplingData[[#Totals],[Winning Candidate]]-SamplingData[[#Totals],[Candidate 5]]), 0)</f>
        <v>0</v>
      </c>
      <c r="U175" s="100">
        <f>IF(AND(SamplingData[[#This Row],[Total]]&lt;&gt; 0, NOT(ISBLANK(SamplingData[[#This Row],[Candidate 6]]))),(SamplingData[[#This Row],[Total]]+SamplingData[[#This Row],[Losing Candidate]]-SamplingData[[#This Row],[Candidate 6]])/(SamplingData[[#Totals],[Winning Candidate]]-SamplingData[[#Totals],[Candidate 6]]), 0)</f>
        <v>0</v>
      </c>
      <c r="V175" s="100">
        <f>IF(AND(SamplingData[[#This Row],[Total]]&lt;&gt; 0, NOT(ISBLANK(SamplingData[[#This Row],[Candidate 7]]))),(SamplingData[[#This Row],[Total]]+SamplingData[[#This Row],[Winning Candidate]]-SamplingData[[#This Row],[Candidate 7]])/(SamplingData[[#Totals],[Winning Candidate]]-SamplingData[[#Totals],[Candidate 7]]), 0)</f>
        <v>0</v>
      </c>
      <c r="W175" s="100">
        <f>IF(AND(SamplingData[[#This Row],[Total]]&lt;&gt; 0, NOT(ISBLANK(SamplingData[[#This Row],[Candidate 8]]))),(SamplingData[[#This Row],[Total]]+SamplingData[[#This Row],[Winning Candidate]]-SamplingData[[#This Row],[Candidate 8]])/(SamplingData[[#Totals],[Winning Candidate]]-SamplingData[[#Totals],[Candidate 8]]), 0)</f>
        <v>0</v>
      </c>
      <c r="X1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5" s="100">
        <f>MAX(SamplingData[[#This Row],[Error Bound (up) - Max. possible relative overstatement - Losing Candidate]:[Error Bound (up) - Max. possible relative overstatement - Candidate 12]])</f>
        <v>2.5282851905694963E-4</v>
      </c>
      <c r="AC175" s="100">
        <f>IF(SamplingData[[#This Row],[Max Error Bound (up)]] = 0,0,SamplingData[[#This Row],[Max Error Bound (up)]]/SamplingData[[#Totals],[Max Error Bound (up)]])</f>
        <v>1.0261185782130876E-4</v>
      </c>
      <c r="AD175" s="104">
        <f>SUM($AC$5:AC175)</f>
        <v>0.16332782580384916</v>
      </c>
      <c r="AE175" s="100" t="str" cm="1">
        <f t="array" ref="AE175">IF(SamplingData[[#This Row],[up/U Selection Probability]] = 0, "Zero", TEXT(SamplingData[[#This Row],[Lower Range]], REPT("0",LEN('General Info'!$B$42))) &amp; " - " &amp; TEXT(SamplingData[[#This Row],[Upper Range]], REPT("0",LEN('General Info'!$B$42))))</f>
        <v>16323 - 16332</v>
      </c>
      <c r="AF175" s="100">
        <f>SamplingData[[#This Row],[Upper Range]]-SamplingData[[#This Row],[Span]]</f>
        <v>16322.521394602785</v>
      </c>
      <c r="AG175" s="100">
        <f>IF(ISNUMBER('General Info'!$B$42), ((SamplingData[[#This Row],[up/U Selection Probability]]) * 'General Info'!$B$44) - 1, 0)</f>
        <v>9.2611857821308767</v>
      </c>
      <c r="AH175" s="100">
        <f>IF(ISNUMBER('General Info'!$B$42), (SamplingData[[#This Row],[Running (cumulative) sum]] * ('General Info'!$B$42 -'General Info'!$B$43 + 1)) + 'General Info'!$B$43 - 1, 0)</f>
        <v>16331.782580384915</v>
      </c>
      <c r="AI175" s="100" t="str">
        <f>IF(ISERROR(MATCH(SamplingData[[#This Row],[Batch by Type (p)]],SelectedPrecincts[Batch Name], 0)), "", INDEX(SelectedPrecincts[Draw], MATCH(SamplingData[[#This Row],[Batch by Type (p)]],SelectedPrecincts[Batch Name], 0)))</f>
        <v/>
      </c>
      <c r="AJ175" s="101">
        <f>IF(COUNTIF(SelectedPrecincts[Batch Name],SamplingData[[#This Row],[Batch by Type (p)]]) &lt;&gt; 0, COUNTIF(SelectedPrecincts[Batch Name],SamplingData[[#This Row],[Batch by Type (p)]]), 0)</f>
        <v>0</v>
      </c>
    </row>
    <row r="176" spans="1:36" ht="15" customHeight="1" x14ac:dyDescent="0.35">
      <c r="A176" s="98" t="s">
        <v>387</v>
      </c>
      <c r="B176" s="98">
        <v>6</v>
      </c>
      <c r="C176" s="98">
        <v>8</v>
      </c>
      <c r="D176" s="93">
        <v>0</v>
      </c>
      <c r="E176" s="93"/>
      <c r="F176" s="93"/>
      <c r="G176" s="97"/>
      <c r="H176" s="97"/>
      <c r="I176" s="93"/>
      <c r="J176" s="93"/>
      <c r="K176" s="93"/>
      <c r="L176" s="93"/>
      <c r="M176" s="93"/>
      <c r="N176" s="98">
        <v>0</v>
      </c>
      <c r="O176" s="98">
        <v>0</v>
      </c>
      <c r="P176" s="99">
        <f>SUM(SamplingData[[#This Row],[Winning Candidate]:[Under Votes]])</f>
        <v>14</v>
      </c>
      <c r="Q176"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76" s="100">
        <f>IF(AND(SamplingData[[#This Row],[Total]]&lt;&gt; 0, NOT(ISBLANK(SamplingData[[#This Row],[Candidate 3]]))),(SamplingData[[#This Row],[Total]]+SamplingData[[#This Row],[Winning Candidate]]-SamplingData[[#This Row],[Candidate 3]])/(SamplingData[[#Totals],[Winning Candidate]]-SamplingData[[#Totals],[Candidate 3]]), 0)</f>
        <v>1.1289230074508919E-3</v>
      </c>
      <c r="S176" s="100">
        <f>IF(AND(SamplingData[[#This Row],[Total]]&lt;&gt; 0, NOT(ISBLANK(SamplingData[[#This Row],[Candidate 4]]))),(SamplingData[[#This Row],[Total]]+SamplingData[[#This Row],[Winning Candidate]]-SamplingData[[#This Row],[Candidate 4]])/(SamplingData[[#Totals],[Winning Candidate]]-SamplingData[[#Totals],[Candidate 4]]), 0)</f>
        <v>0</v>
      </c>
      <c r="T176" s="100">
        <f>IF(AND(SamplingData[[#This Row],[Total]]&lt;&gt; 0, NOT(ISBLANK(SamplingData[[#This Row],[Candidate 5]]))),(SamplingData[[#This Row],[Total]]+SamplingData[[#This Row],[Winning Candidate]]-SamplingData[[#This Row],[Candidate 5]])/(SamplingData[[#Totals],[Winning Candidate]]-SamplingData[[#Totals],[Candidate 5]]), 0)</f>
        <v>0</v>
      </c>
      <c r="U176" s="100">
        <f>IF(AND(SamplingData[[#This Row],[Total]]&lt;&gt; 0, NOT(ISBLANK(SamplingData[[#This Row],[Candidate 6]]))),(SamplingData[[#This Row],[Total]]+SamplingData[[#This Row],[Losing Candidate]]-SamplingData[[#This Row],[Candidate 6]])/(SamplingData[[#Totals],[Winning Candidate]]-SamplingData[[#Totals],[Candidate 6]]), 0)</f>
        <v>0</v>
      </c>
      <c r="V176" s="100">
        <f>IF(AND(SamplingData[[#This Row],[Total]]&lt;&gt; 0, NOT(ISBLANK(SamplingData[[#This Row],[Candidate 7]]))),(SamplingData[[#This Row],[Total]]+SamplingData[[#This Row],[Winning Candidate]]-SamplingData[[#This Row],[Candidate 7]])/(SamplingData[[#Totals],[Winning Candidate]]-SamplingData[[#Totals],[Candidate 7]]), 0)</f>
        <v>0</v>
      </c>
      <c r="W176" s="100">
        <f>IF(AND(SamplingData[[#This Row],[Total]]&lt;&gt; 0, NOT(ISBLANK(SamplingData[[#This Row],[Candidate 8]]))),(SamplingData[[#This Row],[Total]]+SamplingData[[#This Row],[Winning Candidate]]-SamplingData[[#This Row],[Candidate 8]])/(SamplingData[[#Totals],[Winning Candidate]]-SamplingData[[#Totals],[Candidate 8]]), 0)</f>
        <v>0</v>
      </c>
      <c r="X1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6" s="100">
        <f>MAX(SamplingData[[#This Row],[Error Bound (up) - Max. possible relative overstatement - Losing Candidate]:[Error Bound (up) - Max. possible relative overstatement - Candidate 12]])</f>
        <v>1.1289230074508919E-3</v>
      </c>
      <c r="AC176" s="100">
        <f>IF(SamplingData[[#This Row],[Max Error Bound (up)]] = 0,0,SamplingData[[#This Row],[Max Error Bound (up)]]/SamplingData[[#Totals],[Max Error Bound (up)]])</f>
        <v>4.5817966882787478E-4</v>
      </c>
      <c r="AD176" s="104">
        <f>SUM($AC$5:AC176)</f>
        <v>0.16378600547267705</v>
      </c>
      <c r="AE176" s="100" t="str" cm="1">
        <f t="array" ref="AE176">IF(SamplingData[[#This Row],[up/U Selection Probability]] = 0, "Zero", TEXT(SamplingData[[#This Row],[Lower Range]], REPT("0",LEN('General Info'!$B$42))) &amp; " - " &amp; TEXT(SamplingData[[#This Row],[Upper Range]], REPT("0",LEN('General Info'!$B$42))))</f>
        <v>16333 - 16378</v>
      </c>
      <c r="AF176" s="100">
        <f>SamplingData[[#This Row],[Upper Range]]-SamplingData[[#This Row],[Span]]</f>
        <v>16332.782580384917</v>
      </c>
      <c r="AG176" s="100">
        <f>IF(ISNUMBER('General Info'!$B$42), ((SamplingData[[#This Row],[up/U Selection Probability]]) * 'General Info'!$B$44) - 1, 0)</f>
        <v>44.817966882787481</v>
      </c>
      <c r="AH176" s="100">
        <f>IF(ISNUMBER('General Info'!$B$42), (SamplingData[[#This Row],[Running (cumulative) sum]] * ('General Info'!$B$42 -'General Info'!$B$43 + 1)) + 'General Info'!$B$43 - 1, 0)</f>
        <v>16377.600547267704</v>
      </c>
      <c r="AI176" s="100" t="str">
        <f>IF(ISERROR(MATCH(SamplingData[[#This Row],[Batch by Type (p)]],SelectedPrecincts[Batch Name], 0)), "", INDEX(SelectedPrecincts[Draw], MATCH(SamplingData[[#This Row],[Batch by Type (p)]],SelectedPrecincts[Batch Name], 0)))</f>
        <v/>
      </c>
      <c r="AJ176" s="101">
        <f>IF(COUNTIF(SelectedPrecincts[Batch Name],SamplingData[[#This Row],[Batch by Type (p)]]) &lt;&gt; 0, COUNTIF(SelectedPrecincts[Batch Name],SamplingData[[#This Row],[Batch by Type (p)]]), 0)</f>
        <v>0</v>
      </c>
    </row>
    <row r="177" spans="1:36" ht="15" customHeight="1" x14ac:dyDescent="0.35">
      <c r="A177" s="98" t="s">
        <v>388</v>
      </c>
      <c r="B177" s="98">
        <v>5</v>
      </c>
      <c r="C177" s="98">
        <v>2</v>
      </c>
      <c r="D177" s="93">
        <v>0</v>
      </c>
      <c r="E177" s="93"/>
      <c r="F177" s="93"/>
      <c r="G177" s="97"/>
      <c r="H177" s="97"/>
      <c r="I177" s="93"/>
      <c r="J177" s="93"/>
      <c r="K177" s="93"/>
      <c r="L177" s="93"/>
      <c r="M177" s="93"/>
      <c r="N177" s="98">
        <v>0</v>
      </c>
      <c r="O177" s="98">
        <v>1</v>
      </c>
      <c r="P177" s="99">
        <f>SUM(SamplingData[[#This Row],[Winning Candidate]:[Under Votes]])</f>
        <v>8</v>
      </c>
      <c r="Q177" s="100">
        <f>IF(AND(SamplingData[[#This Row],[Total]]&lt;&gt; 0, NOT(ISBLANK(SamplingData[[#This Row],[Losing Candidate]]))),(SamplingData[[#This Row],[Total]]+SamplingData[[#This Row],[Winning Candidate]]-SamplingData[[#This Row],[Losing Candidate]])/(SamplingData[[#Totals],[Winning Candidate]]-SamplingData[[#Totals],[Losing Candidate]]), 0)</f>
        <v>6.9527842740661143E-4</v>
      </c>
      <c r="R177" s="100">
        <f>IF(AND(SamplingData[[#This Row],[Total]]&lt;&gt; 0, NOT(ISBLANK(SamplingData[[#This Row],[Candidate 3]]))),(SamplingData[[#This Row],[Total]]+SamplingData[[#This Row],[Winning Candidate]]-SamplingData[[#This Row],[Candidate 3]])/(SamplingData[[#Totals],[Winning Candidate]]-SamplingData[[#Totals],[Candidate 3]]), 0)</f>
        <v>7.3379995484307975E-4</v>
      </c>
      <c r="S177" s="100">
        <f>IF(AND(SamplingData[[#This Row],[Total]]&lt;&gt; 0, NOT(ISBLANK(SamplingData[[#This Row],[Candidate 4]]))),(SamplingData[[#This Row],[Total]]+SamplingData[[#This Row],[Winning Candidate]]-SamplingData[[#This Row],[Candidate 4]])/(SamplingData[[#Totals],[Winning Candidate]]-SamplingData[[#Totals],[Candidate 4]]), 0)</f>
        <v>0</v>
      </c>
      <c r="T177" s="100">
        <f>IF(AND(SamplingData[[#This Row],[Total]]&lt;&gt; 0, NOT(ISBLANK(SamplingData[[#This Row],[Candidate 5]]))),(SamplingData[[#This Row],[Total]]+SamplingData[[#This Row],[Winning Candidate]]-SamplingData[[#This Row],[Candidate 5]])/(SamplingData[[#Totals],[Winning Candidate]]-SamplingData[[#Totals],[Candidate 5]]), 0)</f>
        <v>0</v>
      </c>
      <c r="U177" s="100">
        <f>IF(AND(SamplingData[[#This Row],[Total]]&lt;&gt; 0, NOT(ISBLANK(SamplingData[[#This Row],[Candidate 6]]))),(SamplingData[[#This Row],[Total]]+SamplingData[[#This Row],[Losing Candidate]]-SamplingData[[#This Row],[Candidate 6]])/(SamplingData[[#Totals],[Winning Candidate]]-SamplingData[[#Totals],[Candidate 6]]), 0)</f>
        <v>0</v>
      </c>
      <c r="V177" s="100">
        <f>IF(AND(SamplingData[[#This Row],[Total]]&lt;&gt; 0, NOT(ISBLANK(SamplingData[[#This Row],[Candidate 7]]))),(SamplingData[[#This Row],[Total]]+SamplingData[[#This Row],[Winning Candidate]]-SamplingData[[#This Row],[Candidate 7]])/(SamplingData[[#Totals],[Winning Candidate]]-SamplingData[[#Totals],[Candidate 7]]), 0)</f>
        <v>0</v>
      </c>
      <c r="W177" s="100">
        <f>IF(AND(SamplingData[[#This Row],[Total]]&lt;&gt; 0, NOT(ISBLANK(SamplingData[[#This Row],[Candidate 8]]))),(SamplingData[[#This Row],[Total]]+SamplingData[[#This Row],[Winning Candidate]]-SamplingData[[#This Row],[Candidate 8]])/(SamplingData[[#Totals],[Winning Candidate]]-SamplingData[[#Totals],[Candidate 8]]), 0)</f>
        <v>0</v>
      </c>
      <c r="X1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7" s="100">
        <f>MAX(SamplingData[[#This Row],[Error Bound (up) - Max. possible relative overstatement - Losing Candidate]:[Error Bound (up) - Max. possible relative overstatement - Candidate 12]])</f>
        <v>7.3379995484307975E-4</v>
      </c>
      <c r="AC177" s="100">
        <f>IF(SamplingData[[#This Row],[Max Error Bound (up)]] = 0,0,SamplingData[[#This Row],[Max Error Bound (up)]]/SamplingData[[#Totals],[Max Error Bound (up)]])</f>
        <v>2.9781678473811863E-4</v>
      </c>
      <c r="AD177" s="104">
        <f>SUM($AC$5:AC177)</f>
        <v>0.16408382225741516</v>
      </c>
      <c r="AE177" s="100" t="str" cm="1">
        <f t="array" ref="AE177">IF(SamplingData[[#This Row],[up/U Selection Probability]] = 0, "Zero", TEXT(SamplingData[[#This Row],[Lower Range]], REPT("0",LEN('General Info'!$B$42))) &amp; " - " &amp; TEXT(SamplingData[[#This Row],[Upper Range]], REPT("0",LEN('General Info'!$B$42))))</f>
        <v>16379 - 16407</v>
      </c>
      <c r="AF177" s="100">
        <f>SamplingData[[#This Row],[Upper Range]]-SamplingData[[#This Row],[Span]]</f>
        <v>16378.600547267704</v>
      </c>
      <c r="AG177" s="100">
        <f>IF(ISNUMBER('General Info'!$B$42), ((SamplingData[[#This Row],[up/U Selection Probability]]) * 'General Info'!$B$44) - 1, 0)</f>
        <v>28.781678473811862</v>
      </c>
      <c r="AH177" s="100">
        <f>IF(ISNUMBER('General Info'!$B$42), (SamplingData[[#This Row],[Running (cumulative) sum]] * ('General Info'!$B$42 -'General Info'!$B$43 + 1)) + 'General Info'!$B$43 - 1, 0)</f>
        <v>16407.382225741516</v>
      </c>
      <c r="AI177" s="100" t="str">
        <f>IF(ISERROR(MATCH(SamplingData[[#This Row],[Batch by Type (p)]],SelectedPrecincts[Batch Name], 0)), "", INDEX(SelectedPrecincts[Draw], MATCH(SamplingData[[#This Row],[Batch by Type (p)]],SelectedPrecincts[Batch Name], 0)))</f>
        <v/>
      </c>
      <c r="AJ177" s="101">
        <f>IF(COUNTIF(SelectedPrecincts[Batch Name],SamplingData[[#This Row],[Batch by Type (p)]]) &lt;&gt; 0, COUNTIF(SelectedPrecincts[Batch Name],SamplingData[[#This Row],[Batch by Type (p)]]), 0)</f>
        <v>0</v>
      </c>
    </row>
    <row r="178" spans="1:36" ht="15" customHeight="1" x14ac:dyDescent="0.35">
      <c r="A178" s="98" t="s">
        <v>389</v>
      </c>
      <c r="B178" s="98">
        <v>6</v>
      </c>
      <c r="C178" s="98">
        <v>0</v>
      </c>
      <c r="D178" s="93">
        <v>0</v>
      </c>
      <c r="E178" s="93"/>
      <c r="F178" s="93"/>
      <c r="G178" s="97"/>
      <c r="H178" s="97"/>
      <c r="I178" s="93"/>
      <c r="J178" s="93"/>
      <c r="K178" s="93"/>
      <c r="L178" s="93"/>
      <c r="M178" s="93"/>
      <c r="N178" s="98">
        <v>0</v>
      </c>
      <c r="O178" s="98">
        <v>1</v>
      </c>
      <c r="P178" s="99">
        <f>SUM(SamplingData[[#This Row],[Winning Candidate]:[Under Votes]])</f>
        <v>7</v>
      </c>
      <c r="Q178" s="100">
        <f>IF(AND(SamplingData[[#This Row],[Total]]&lt;&gt; 0, NOT(ISBLANK(SamplingData[[#This Row],[Losing Candidate]]))),(SamplingData[[#This Row],[Total]]+SamplingData[[#This Row],[Winning Candidate]]-SamplingData[[#This Row],[Losing Candidate]])/(SamplingData[[#Totals],[Winning Candidate]]-SamplingData[[#Totals],[Losing Candidate]]), 0)</f>
        <v>8.2169268693508624E-4</v>
      </c>
      <c r="R178" s="100">
        <f>IF(AND(SamplingData[[#This Row],[Total]]&lt;&gt; 0, NOT(ISBLANK(SamplingData[[#This Row],[Candidate 3]]))),(SamplingData[[#This Row],[Total]]+SamplingData[[#This Row],[Winning Candidate]]-SamplingData[[#This Row],[Candidate 3]])/(SamplingData[[#Totals],[Winning Candidate]]-SamplingData[[#Totals],[Candidate 3]]), 0)</f>
        <v>7.3379995484307975E-4</v>
      </c>
      <c r="S178" s="100">
        <f>IF(AND(SamplingData[[#This Row],[Total]]&lt;&gt; 0, NOT(ISBLANK(SamplingData[[#This Row],[Candidate 4]]))),(SamplingData[[#This Row],[Total]]+SamplingData[[#This Row],[Winning Candidate]]-SamplingData[[#This Row],[Candidate 4]])/(SamplingData[[#Totals],[Winning Candidate]]-SamplingData[[#Totals],[Candidate 4]]), 0)</f>
        <v>0</v>
      </c>
      <c r="T178" s="100">
        <f>IF(AND(SamplingData[[#This Row],[Total]]&lt;&gt; 0, NOT(ISBLANK(SamplingData[[#This Row],[Candidate 5]]))),(SamplingData[[#This Row],[Total]]+SamplingData[[#This Row],[Winning Candidate]]-SamplingData[[#This Row],[Candidate 5]])/(SamplingData[[#Totals],[Winning Candidate]]-SamplingData[[#Totals],[Candidate 5]]), 0)</f>
        <v>0</v>
      </c>
      <c r="U178" s="100">
        <f>IF(AND(SamplingData[[#This Row],[Total]]&lt;&gt; 0, NOT(ISBLANK(SamplingData[[#This Row],[Candidate 6]]))),(SamplingData[[#This Row],[Total]]+SamplingData[[#This Row],[Losing Candidate]]-SamplingData[[#This Row],[Candidate 6]])/(SamplingData[[#Totals],[Winning Candidate]]-SamplingData[[#Totals],[Candidate 6]]), 0)</f>
        <v>0</v>
      </c>
      <c r="V178" s="100">
        <f>IF(AND(SamplingData[[#This Row],[Total]]&lt;&gt; 0, NOT(ISBLANK(SamplingData[[#This Row],[Candidate 7]]))),(SamplingData[[#This Row],[Total]]+SamplingData[[#This Row],[Winning Candidate]]-SamplingData[[#This Row],[Candidate 7]])/(SamplingData[[#Totals],[Winning Candidate]]-SamplingData[[#Totals],[Candidate 7]]), 0)</f>
        <v>0</v>
      </c>
      <c r="W178" s="100">
        <f>IF(AND(SamplingData[[#This Row],[Total]]&lt;&gt; 0, NOT(ISBLANK(SamplingData[[#This Row],[Candidate 8]]))),(SamplingData[[#This Row],[Total]]+SamplingData[[#This Row],[Winning Candidate]]-SamplingData[[#This Row],[Candidate 8]])/(SamplingData[[#Totals],[Winning Candidate]]-SamplingData[[#Totals],[Candidate 8]]), 0)</f>
        <v>0</v>
      </c>
      <c r="X1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8" s="100">
        <f>MAX(SamplingData[[#This Row],[Error Bound (up) - Max. possible relative overstatement - Losing Candidate]:[Error Bound (up) - Max. possible relative overstatement - Candidate 12]])</f>
        <v>8.2169268693508624E-4</v>
      </c>
      <c r="AC178" s="100">
        <f>IF(SamplingData[[#This Row],[Max Error Bound (up)]] = 0,0,SamplingData[[#This Row],[Max Error Bound (up)]]/SamplingData[[#Totals],[Max Error Bound (up)]])</f>
        <v>3.3348853791925341E-4</v>
      </c>
      <c r="AD178" s="104">
        <f>SUM($AC$5:AC178)</f>
        <v>0.16441731079533442</v>
      </c>
      <c r="AE178" s="100" t="str" cm="1">
        <f t="array" ref="AE178">IF(SamplingData[[#This Row],[up/U Selection Probability]] = 0, "Zero", TEXT(SamplingData[[#This Row],[Lower Range]], REPT("0",LEN('General Info'!$B$42))) &amp; " - " &amp; TEXT(SamplingData[[#This Row],[Upper Range]], REPT("0",LEN('General Info'!$B$42))))</f>
        <v>16408 - 16441</v>
      </c>
      <c r="AF178" s="100">
        <f>SamplingData[[#This Row],[Upper Range]]-SamplingData[[#This Row],[Span]]</f>
        <v>16408.382225741516</v>
      </c>
      <c r="AG178" s="100">
        <f>IF(ISNUMBER('General Info'!$B$42), ((SamplingData[[#This Row],[up/U Selection Probability]]) * 'General Info'!$B$44) - 1, 0)</f>
        <v>32.348853791925343</v>
      </c>
      <c r="AH178" s="100">
        <f>IF(ISNUMBER('General Info'!$B$42), (SamplingData[[#This Row],[Running (cumulative) sum]] * ('General Info'!$B$42 -'General Info'!$B$43 + 1)) + 'General Info'!$B$43 - 1, 0)</f>
        <v>16440.731079533442</v>
      </c>
      <c r="AI178" s="100" t="str">
        <f>IF(ISERROR(MATCH(SamplingData[[#This Row],[Batch by Type (p)]],SelectedPrecincts[Batch Name], 0)), "", INDEX(SelectedPrecincts[Draw], MATCH(SamplingData[[#This Row],[Batch by Type (p)]],SelectedPrecincts[Batch Name], 0)))</f>
        <v/>
      </c>
      <c r="AJ178" s="101">
        <f>IF(COUNTIF(SelectedPrecincts[Batch Name],SamplingData[[#This Row],[Batch by Type (p)]]) &lt;&gt; 0, COUNTIF(SelectedPrecincts[Batch Name],SamplingData[[#This Row],[Batch by Type (p)]]), 0)</f>
        <v>0</v>
      </c>
    </row>
    <row r="179" spans="1:36" ht="15" customHeight="1" x14ac:dyDescent="0.35">
      <c r="A179" s="98" t="s">
        <v>390</v>
      </c>
      <c r="B179" s="98">
        <v>8</v>
      </c>
      <c r="C179" s="98">
        <v>0</v>
      </c>
      <c r="D179" s="93">
        <v>0</v>
      </c>
      <c r="E179" s="93"/>
      <c r="F179" s="93"/>
      <c r="G179" s="97"/>
      <c r="H179" s="97"/>
      <c r="I179" s="93"/>
      <c r="J179" s="93"/>
      <c r="K179" s="93"/>
      <c r="L179" s="93"/>
      <c r="M179" s="93"/>
      <c r="N179" s="98">
        <v>0</v>
      </c>
      <c r="O179" s="98">
        <v>0</v>
      </c>
      <c r="P179" s="99">
        <f>SUM(SamplingData[[#This Row],[Winning Candidate]:[Under Votes]])</f>
        <v>8</v>
      </c>
      <c r="Q179"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179" s="100">
        <f>IF(AND(SamplingData[[#This Row],[Total]]&lt;&gt; 0, NOT(ISBLANK(SamplingData[[#This Row],[Candidate 3]]))),(SamplingData[[#This Row],[Total]]+SamplingData[[#This Row],[Winning Candidate]]-SamplingData[[#This Row],[Candidate 3]])/(SamplingData[[#Totals],[Winning Candidate]]-SamplingData[[#Totals],[Candidate 3]]), 0)</f>
        <v>9.0313840596071345E-4</v>
      </c>
      <c r="S179" s="100">
        <f>IF(AND(SamplingData[[#This Row],[Total]]&lt;&gt; 0, NOT(ISBLANK(SamplingData[[#This Row],[Candidate 4]]))),(SamplingData[[#This Row],[Total]]+SamplingData[[#This Row],[Winning Candidate]]-SamplingData[[#This Row],[Candidate 4]])/(SamplingData[[#Totals],[Winning Candidate]]-SamplingData[[#Totals],[Candidate 4]]), 0)</f>
        <v>0</v>
      </c>
      <c r="T179" s="100">
        <f>IF(AND(SamplingData[[#This Row],[Total]]&lt;&gt; 0, NOT(ISBLANK(SamplingData[[#This Row],[Candidate 5]]))),(SamplingData[[#This Row],[Total]]+SamplingData[[#This Row],[Winning Candidate]]-SamplingData[[#This Row],[Candidate 5]])/(SamplingData[[#Totals],[Winning Candidate]]-SamplingData[[#Totals],[Candidate 5]]), 0)</f>
        <v>0</v>
      </c>
      <c r="U179" s="100">
        <f>IF(AND(SamplingData[[#This Row],[Total]]&lt;&gt; 0, NOT(ISBLANK(SamplingData[[#This Row],[Candidate 6]]))),(SamplingData[[#This Row],[Total]]+SamplingData[[#This Row],[Losing Candidate]]-SamplingData[[#This Row],[Candidate 6]])/(SamplingData[[#Totals],[Winning Candidate]]-SamplingData[[#Totals],[Candidate 6]]), 0)</f>
        <v>0</v>
      </c>
      <c r="V179" s="100">
        <f>IF(AND(SamplingData[[#This Row],[Total]]&lt;&gt; 0, NOT(ISBLANK(SamplingData[[#This Row],[Candidate 7]]))),(SamplingData[[#This Row],[Total]]+SamplingData[[#This Row],[Winning Candidate]]-SamplingData[[#This Row],[Candidate 7]])/(SamplingData[[#Totals],[Winning Candidate]]-SamplingData[[#Totals],[Candidate 7]]), 0)</f>
        <v>0</v>
      </c>
      <c r="W179" s="100">
        <f>IF(AND(SamplingData[[#This Row],[Total]]&lt;&gt; 0, NOT(ISBLANK(SamplingData[[#This Row],[Candidate 8]]))),(SamplingData[[#This Row],[Total]]+SamplingData[[#This Row],[Winning Candidate]]-SamplingData[[#This Row],[Candidate 8]])/(SamplingData[[#Totals],[Winning Candidate]]-SamplingData[[#Totals],[Candidate 8]]), 0)</f>
        <v>0</v>
      </c>
      <c r="X1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9" s="100">
        <f>MAX(SamplingData[[#This Row],[Error Bound (up) - Max. possible relative overstatement - Losing Candidate]:[Error Bound (up) - Max. possible relative overstatement - Candidate 12]])</f>
        <v>1.0113140762277985E-3</v>
      </c>
      <c r="AC179" s="100">
        <f>IF(SamplingData[[#This Row],[Max Error Bound (up)]] = 0,0,SamplingData[[#This Row],[Max Error Bound (up)]]/SamplingData[[#Totals],[Max Error Bound (up)]])</f>
        <v>4.1044743128523505E-4</v>
      </c>
      <c r="AD179" s="104">
        <f>SUM($AC$5:AC179)</f>
        <v>0.16482775822661966</v>
      </c>
      <c r="AE179" s="100" t="str" cm="1">
        <f t="array" ref="AE179">IF(SamplingData[[#This Row],[up/U Selection Probability]] = 0, "Zero", TEXT(SamplingData[[#This Row],[Lower Range]], REPT("0",LEN('General Info'!$B$42))) &amp; " - " &amp; TEXT(SamplingData[[#This Row],[Upper Range]], REPT("0",LEN('General Info'!$B$42))))</f>
        <v>16442 - 16482</v>
      </c>
      <c r="AF179" s="100">
        <f>SamplingData[[#This Row],[Upper Range]]-SamplingData[[#This Row],[Span]]</f>
        <v>16441.731079533442</v>
      </c>
      <c r="AG179" s="100">
        <f>IF(ISNUMBER('General Info'!$B$42), ((SamplingData[[#This Row],[up/U Selection Probability]]) * 'General Info'!$B$44) - 1, 0)</f>
        <v>40.044743128523507</v>
      </c>
      <c r="AH179" s="100">
        <f>IF(ISNUMBER('General Info'!$B$42), (SamplingData[[#This Row],[Running (cumulative) sum]] * ('General Info'!$B$42 -'General Info'!$B$43 + 1)) + 'General Info'!$B$43 - 1, 0)</f>
        <v>16481.775822661966</v>
      </c>
      <c r="AI179" s="100" t="str">
        <f>IF(ISERROR(MATCH(SamplingData[[#This Row],[Batch by Type (p)]],SelectedPrecincts[Batch Name], 0)), "", INDEX(SelectedPrecincts[Draw], MATCH(SamplingData[[#This Row],[Batch by Type (p)]],SelectedPrecincts[Batch Name], 0)))</f>
        <v/>
      </c>
      <c r="AJ179" s="101">
        <f>IF(COUNTIF(SelectedPrecincts[Batch Name],SamplingData[[#This Row],[Batch by Type (p)]]) &lt;&gt; 0, COUNTIF(SelectedPrecincts[Batch Name],SamplingData[[#This Row],[Batch by Type (p)]]), 0)</f>
        <v>0</v>
      </c>
    </row>
    <row r="180" spans="1:36" ht="15" customHeight="1" x14ac:dyDescent="0.35">
      <c r="A180" s="98" t="s">
        <v>391</v>
      </c>
      <c r="B180" s="98">
        <v>10</v>
      </c>
      <c r="C180" s="98">
        <v>0</v>
      </c>
      <c r="D180" s="93">
        <v>0</v>
      </c>
      <c r="E180" s="93"/>
      <c r="F180" s="93"/>
      <c r="G180" s="97"/>
      <c r="H180" s="97"/>
      <c r="I180" s="93"/>
      <c r="J180" s="93"/>
      <c r="K180" s="93"/>
      <c r="L180" s="93"/>
      <c r="M180" s="93"/>
      <c r="N180" s="98">
        <v>1</v>
      </c>
      <c r="O180" s="98">
        <v>0</v>
      </c>
      <c r="P180" s="99">
        <f>SUM(SamplingData[[#This Row],[Winning Candidate]:[Under Votes]])</f>
        <v>11</v>
      </c>
      <c r="Q180" s="100">
        <f>IF(AND(SamplingData[[#This Row],[Total]]&lt;&gt; 0, NOT(ISBLANK(SamplingData[[#This Row],[Losing Candidate]]))),(SamplingData[[#This Row],[Total]]+SamplingData[[#This Row],[Winning Candidate]]-SamplingData[[#This Row],[Losing Candidate]])/(SamplingData[[#Totals],[Winning Candidate]]-SamplingData[[#Totals],[Losing Candidate]]), 0)</f>
        <v>1.3273497250489855E-3</v>
      </c>
      <c r="R180" s="100">
        <f>IF(AND(SamplingData[[#This Row],[Total]]&lt;&gt; 0, NOT(ISBLANK(SamplingData[[#This Row],[Candidate 3]]))),(SamplingData[[#This Row],[Total]]+SamplingData[[#This Row],[Winning Candidate]]-SamplingData[[#This Row],[Candidate 3]])/(SamplingData[[#Totals],[Winning Candidate]]-SamplingData[[#Totals],[Candidate 3]]), 0)</f>
        <v>1.1853691578234365E-3</v>
      </c>
      <c r="S180" s="100">
        <f>IF(AND(SamplingData[[#This Row],[Total]]&lt;&gt; 0, NOT(ISBLANK(SamplingData[[#This Row],[Candidate 4]]))),(SamplingData[[#This Row],[Total]]+SamplingData[[#This Row],[Winning Candidate]]-SamplingData[[#This Row],[Candidate 4]])/(SamplingData[[#Totals],[Winning Candidate]]-SamplingData[[#Totals],[Candidate 4]]), 0)</f>
        <v>0</v>
      </c>
      <c r="T180" s="100">
        <f>IF(AND(SamplingData[[#This Row],[Total]]&lt;&gt; 0, NOT(ISBLANK(SamplingData[[#This Row],[Candidate 5]]))),(SamplingData[[#This Row],[Total]]+SamplingData[[#This Row],[Winning Candidate]]-SamplingData[[#This Row],[Candidate 5]])/(SamplingData[[#Totals],[Winning Candidate]]-SamplingData[[#Totals],[Candidate 5]]), 0)</f>
        <v>0</v>
      </c>
      <c r="U180" s="100">
        <f>IF(AND(SamplingData[[#This Row],[Total]]&lt;&gt; 0, NOT(ISBLANK(SamplingData[[#This Row],[Candidate 6]]))),(SamplingData[[#This Row],[Total]]+SamplingData[[#This Row],[Losing Candidate]]-SamplingData[[#This Row],[Candidate 6]])/(SamplingData[[#Totals],[Winning Candidate]]-SamplingData[[#Totals],[Candidate 6]]), 0)</f>
        <v>0</v>
      </c>
      <c r="V180" s="100">
        <f>IF(AND(SamplingData[[#This Row],[Total]]&lt;&gt; 0, NOT(ISBLANK(SamplingData[[#This Row],[Candidate 7]]))),(SamplingData[[#This Row],[Total]]+SamplingData[[#This Row],[Winning Candidate]]-SamplingData[[#This Row],[Candidate 7]])/(SamplingData[[#Totals],[Winning Candidate]]-SamplingData[[#Totals],[Candidate 7]]), 0)</f>
        <v>0</v>
      </c>
      <c r="W180" s="100">
        <f>IF(AND(SamplingData[[#This Row],[Total]]&lt;&gt; 0, NOT(ISBLANK(SamplingData[[#This Row],[Candidate 8]]))),(SamplingData[[#This Row],[Total]]+SamplingData[[#This Row],[Winning Candidate]]-SamplingData[[#This Row],[Candidate 8]])/(SamplingData[[#Totals],[Winning Candidate]]-SamplingData[[#Totals],[Candidate 8]]), 0)</f>
        <v>0</v>
      </c>
      <c r="X1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0" s="100">
        <f>MAX(SamplingData[[#This Row],[Error Bound (up) - Max. possible relative overstatement - Losing Candidate]:[Error Bound (up) - Max. possible relative overstatement - Candidate 12]])</f>
        <v>1.3273497250489855E-3</v>
      </c>
      <c r="AC180" s="100">
        <f>IF(SamplingData[[#This Row],[Max Error Bound (up)]] = 0,0,SamplingData[[#This Row],[Max Error Bound (up)]]/SamplingData[[#Totals],[Max Error Bound (up)]])</f>
        <v>5.3871225356187094E-4</v>
      </c>
      <c r="AD180" s="104">
        <f>SUM($AC$5:AC180)</f>
        <v>0.16536647048018152</v>
      </c>
      <c r="AE180" s="100" t="str" cm="1">
        <f t="array" ref="AE180">IF(SamplingData[[#This Row],[up/U Selection Probability]] = 0, "Zero", TEXT(SamplingData[[#This Row],[Lower Range]], REPT("0",LEN('General Info'!$B$42))) &amp; " - " &amp; TEXT(SamplingData[[#This Row],[Upper Range]], REPT("0",LEN('General Info'!$B$42))))</f>
        <v>16483 - 16536</v>
      </c>
      <c r="AF180" s="100">
        <f>SamplingData[[#This Row],[Upper Range]]-SamplingData[[#This Row],[Span]]</f>
        <v>16482.775822661966</v>
      </c>
      <c r="AG180" s="100">
        <f>IF(ISNUMBER('General Info'!$B$42), ((SamplingData[[#This Row],[up/U Selection Probability]]) * 'General Info'!$B$44) - 1, 0)</f>
        <v>52.871225356187097</v>
      </c>
      <c r="AH180" s="100">
        <f>IF(ISNUMBER('General Info'!$B$42), (SamplingData[[#This Row],[Running (cumulative) sum]] * ('General Info'!$B$42 -'General Info'!$B$43 + 1)) + 'General Info'!$B$43 - 1, 0)</f>
        <v>16535.647048018152</v>
      </c>
      <c r="AI180" s="100" t="str">
        <f>IF(ISERROR(MATCH(SamplingData[[#This Row],[Batch by Type (p)]],SelectedPrecincts[Batch Name], 0)), "", INDEX(SelectedPrecincts[Draw], MATCH(SamplingData[[#This Row],[Batch by Type (p)]],SelectedPrecincts[Batch Name], 0)))</f>
        <v/>
      </c>
      <c r="AJ180" s="101">
        <f>IF(COUNTIF(SelectedPrecincts[Batch Name],SamplingData[[#This Row],[Batch by Type (p)]]) &lt;&gt; 0, COUNTIF(SelectedPrecincts[Batch Name],SamplingData[[#This Row],[Batch by Type (p)]]), 0)</f>
        <v>0</v>
      </c>
    </row>
    <row r="181" spans="1:36" ht="15" customHeight="1" x14ac:dyDescent="0.35">
      <c r="A181" s="98" t="s">
        <v>392</v>
      </c>
      <c r="B181" s="98">
        <v>3</v>
      </c>
      <c r="C181" s="98">
        <v>1</v>
      </c>
      <c r="D181" s="93">
        <v>1</v>
      </c>
      <c r="E181" s="93"/>
      <c r="F181" s="93"/>
      <c r="G181" s="97"/>
      <c r="H181" s="97"/>
      <c r="I181" s="93"/>
      <c r="J181" s="93"/>
      <c r="K181" s="93"/>
      <c r="L181" s="93"/>
      <c r="M181" s="93"/>
      <c r="N181" s="98">
        <v>0</v>
      </c>
      <c r="O181" s="98">
        <v>0</v>
      </c>
      <c r="P181" s="99">
        <f>SUM(SamplingData[[#This Row],[Winning Candidate]:[Under Votes]])</f>
        <v>5</v>
      </c>
      <c r="Q181" s="100">
        <f>IF(AND(SamplingData[[#This Row],[Total]]&lt;&gt; 0, NOT(ISBLANK(SamplingData[[#This Row],[Losing Candidate]]))),(SamplingData[[#This Row],[Total]]+SamplingData[[#This Row],[Winning Candidate]]-SamplingData[[#This Row],[Losing Candidate]])/(SamplingData[[#Totals],[Winning Candidate]]-SamplingData[[#Totals],[Losing Candidate]]), 0)</f>
        <v>4.4244990834966185E-4</v>
      </c>
      <c r="R181" s="100">
        <f>IF(AND(SamplingData[[#This Row],[Total]]&lt;&gt; 0, NOT(ISBLANK(SamplingData[[#This Row],[Candidate 3]]))),(SamplingData[[#This Row],[Total]]+SamplingData[[#This Row],[Winning Candidate]]-SamplingData[[#This Row],[Candidate 3]])/(SamplingData[[#Totals],[Winning Candidate]]-SamplingData[[#Totals],[Candidate 3]]), 0)</f>
        <v>3.9512305260781214E-4</v>
      </c>
      <c r="S181" s="100">
        <f>IF(AND(SamplingData[[#This Row],[Total]]&lt;&gt; 0, NOT(ISBLANK(SamplingData[[#This Row],[Candidate 4]]))),(SamplingData[[#This Row],[Total]]+SamplingData[[#This Row],[Winning Candidate]]-SamplingData[[#This Row],[Candidate 4]])/(SamplingData[[#Totals],[Winning Candidate]]-SamplingData[[#Totals],[Candidate 4]]), 0)</f>
        <v>0</v>
      </c>
      <c r="T181" s="100">
        <f>IF(AND(SamplingData[[#This Row],[Total]]&lt;&gt; 0, NOT(ISBLANK(SamplingData[[#This Row],[Candidate 5]]))),(SamplingData[[#This Row],[Total]]+SamplingData[[#This Row],[Winning Candidate]]-SamplingData[[#This Row],[Candidate 5]])/(SamplingData[[#Totals],[Winning Candidate]]-SamplingData[[#Totals],[Candidate 5]]), 0)</f>
        <v>0</v>
      </c>
      <c r="U181" s="100">
        <f>IF(AND(SamplingData[[#This Row],[Total]]&lt;&gt; 0, NOT(ISBLANK(SamplingData[[#This Row],[Candidate 6]]))),(SamplingData[[#This Row],[Total]]+SamplingData[[#This Row],[Losing Candidate]]-SamplingData[[#This Row],[Candidate 6]])/(SamplingData[[#Totals],[Winning Candidate]]-SamplingData[[#Totals],[Candidate 6]]), 0)</f>
        <v>0</v>
      </c>
      <c r="V181" s="100">
        <f>IF(AND(SamplingData[[#This Row],[Total]]&lt;&gt; 0, NOT(ISBLANK(SamplingData[[#This Row],[Candidate 7]]))),(SamplingData[[#This Row],[Total]]+SamplingData[[#This Row],[Winning Candidate]]-SamplingData[[#This Row],[Candidate 7]])/(SamplingData[[#Totals],[Winning Candidate]]-SamplingData[[#Totals],[Candidate 7]]), 0)</f>
        <v>0</v>
      </c>
      <c r="W181" s="100">
        <f>IF(AND(SamplingData[[#This Row],[Total]]&lt;&gt; 0, NOT(ISBLANK(SamplingData[[#This Row],[Candidate 8]]))),(SamplingData[[#This Row],[Total]]+SamplingData[[#This Row],[Winning Candidate]]-SamplingData[[#This Row],[Candidate 8]])/(SamplingData[[#Totals],[Winning Candidate]]-SamplingData[[#Totals],[Candidate 8]]), 0)</f>
        <v>0</v>
      </c>
      <c r="X1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1" s="100">
        <f>MAX(SamplingData[[#This Row],[Error Bound (up) - Max. possible relative overstatement - Losing Candidate]:[Error Bound (up) - Max. possible relative overstatement - Candidate 12]])</f>
        <v>4.4244990834966185E-4</v>
      </c>
      <c r="AC181" s="100">
        <f>IF(SamplingData[[#This Row],[Max Error Bound (up)]] = 0,0,SamplingData[[#This Row],[Max Error Bound (up)]]/SamplingData[[#Totals],[Max Error Bound (up)]])</f>
        <v>1.7957075118729031E-4</v>
      </c>
      <c r="AD181" s="104">
        <f>SUM($AC$5:AC181)</f>
        <v>0.16554604123136882</v>
      </c>
      <c r="AE181" s="100" t="str" cm="1">
        <f t="array" ref="AE181">IF(SamplingData[[#This Row],[up/U Selection Probability]] = 0, "Zero", TEXT(SamplingData[[#This Row],[Lower Range]], REPT("0",LEN('General Info'!$B$42))) &amp; " - " &amp; TEXT(SamplingData[[#This Row],[Upper Range]], REPT("0",LEN('General Info'!$B$42))))</f>
        <v>16537 - 16554</v>
      </c>
      <c r="AF181" s="100">
        <f>SamplingData[[#This Row],[Upper Range]]-SamplingData[[#This Row],[Span]]</f>
        <v>16536.647048018156</v>
      </c>
      <c r="AG181" s="100">
        <f>IF(ISNUMBER('General Info'!$B$42), ((SamplingData[[#This Row],[up/U Selection Probability]]) * 'General Info'!$B$44) - 1, 0)</f>
        <v>16.95707511872903</v>
      </c>
      <c r="AH181" s="100">
        <f>IF(ISNUMBER('General Info'!$B$42), (SamplingData[[#This Row],[Running (cumulative) sum]] * ('General Info'!$B$42 -'General Info'!$B$43 + 1)) + 'General Info'!$B$43 - 1, 0)</f>
        <v>16553.604123136884</v>
      </c>
      <c r="AI181" s="100" t="str">
        <f>IF(ISERROR(MATCH(SamplingData[[#This Row],[Batch by Type (p)]],SelectedPrecincts[Batch Name], 0)), "", INDEX(SelectedPrecincts[Draw], MATCH(SamplingData[[#This Row],[Batch by Type (p)]],SelectedPrecincts[Batch Name], 0)))</f>
        <v/>
      </c>
      <c r="AJ181" s="101">
        <f>IF(COUNTIF(SelectedPrecincts[Batch Name],SamplingData[[#This Row],[Batch by Type (p)]]) &lt;&gt; 0, COUNTIF(SelectedPrecincts[Batch Name],SamplingData[[#This Row],[Batch by Type (p)]]), 0)</f>
        <v>0</v>
      </c>
    </row>
    <row r="182" spans="1:36" ht="15" customHeight="1" x14ac:dyDescent="0.35">
      <c r="A182" s="98" t="s">
        <v>393</v>
      </c>
      <c r="B182" s="98">
        <v>7</v>
      </c>
      <c r="C182" s="98">
        <v>4</v>
      </c>
      <c r="D182" s="93">
        <v>0</v>
      </c>
      <c r="E182" s="93"/>
      <c r="F182" s="93"/>
      <c r="G182" s="97"/>
      <c r="H182" s="97"/>
      <c r="I182" s="93"/>
      <c r="J182" s="93"/>
      <c r="K182" s="93"/>
      <c r="L182" s="93"/>
      <c r="M182" s="93"/>
      <c r="N182" s="98">
        <v>0</v>
      </c>
      <c r="O182" s="98">
        <v>0</v>
      </c>
      <c r="P182" s="99">
        <f>SUM(SamplingData[[#This Row],[Winning Candidate]:[Under Votes]])</f>
        <v>11</v>
      </c>
      <c r="Q182" s="100">
        <f>IF(AND(SamplingData[[#This Row],[Total]]&lt;&gt; 0, NOT(ISBLANK(SamplingData[[#This Row],[Losing Candidate]]))),(SamplingData[[#This Row],[Total]]+SamplingData[[#This Row],[Winning Candidate]]-SamplingData[[#This Row],[Losing Candidate]])/(SamplingData[[#Totals],[Winning Candidate]]-SamplingData[[#Totals],[Losing Candidate]]), 0)</f>
        <v>8.848998166993237E-4</v>
      </c>
      <c r="R182" s="100">
        <f>IF(AND(SamplingData[[#This Row],[Total]]&lt;&gt; 0, NOT(ISBLANK(SamplingData[[#This Row],[Candidate 3]]))),(SamplingData[[#This Row],[Total]]+SamplingData[[#This Row],[Winning Candidate]]-SamplingData[[#This Row],[Candidate 3]])/(SamplingData[[#Totals],[Winning Candidate]]-SamplingData[[#Totals],[Candidate 3]]), 0)</f>
        <v>1.0160307067058026E-3</v>
      </c>
      <c r="S182" s="100">
        <f>IF(AND(SamplingData[[#This Row],[Total]]&lt;&gt; 0, NOT(ISBLANK(SamplingData[[#This Row],[Candidate 4]]))),(SamplingData[[#This Row],[Total]]+SamplingData[[#This Row],[Winning Candidate]]-SamplingData[[#This Row],[Candidate 4]])/(SamplingData[[#Totals],[Winning Candidate]]-SamplingData[[#Totals],[Candidate 4]]), 0)</f>
        <v>0</v>
      </c>
      <c r="T182" s="100">
        <f>IF(AND(SamplingData[[#This Row],[Total]]&lt;&gt; 0, NOT(ISBLANK(SamplingData[[#This Row],[Candidate 5]]))),(SamplingData[[#This Row],[Total]]+SamplingData[[#This Row],[Winning Candidate]]-SamplingData[[#This Row],[Candidate 5]])/(SamplingData[[#Totals],[Winning Candidate]]-SamplingData[[#Totals],[Candidate 5]]), 0)</f>
        <v>0</v>
      </c>
      <c r="U182" s="100">
        <f>IF(AND(SamplingData[[#This Row],[Total]]&lt;&gt; 0, NOT(ISBLANK(SamplingData[[#This Row],[Candidate 6]]))),(SamplingData[[#This Row],[Total]]+SamplingData[[#This Row],[Losing Candidate]]-SamplingData[[#This Row],[Candidate 6]])/(SamplingData[[#Totals],[Winning Candidate]]-SamplingData[[#Totals],[Candidate 6]]), 0)</f>
        <v>0</v>
      </c>
      <c r="V182" s="100">
        <f>IF(AND(SamplingData[[#This Row],[Total]]&lt;&gt; 0, NOT(ISBLANK(SamplingData[[#This Row],[Candidate 7]]))),(SamplingData[[#This Row],[Total]]+SamplingData[[#This Row],[Winning Candidate]]-SamplingData[[#This Row],[Candidate 7]])/(SamplingData[[#Totals],[Winning Candidate]]-SamplingData[[#Totals],[Candidate 7]]), 0)</f>
        <v>0</v>
      </c>
      <c r="W182" s="100">
        <f>IF(AND(SamplingData[[#This Row],[Total]]&lt;&gt; 0, NOT(ISBLANK(SamplingData[[#This Row],[Candidate 8]]))),(SamplingData[[#This Row],[Total]]+SamplingData[[#This Row],[Winning Candidate]]-SamplingData[[#This Row],[Candidate 8]])/(SamplingData[[#Totals],[Winning Candidate]]-SamplingData[[#Totals],[Candidate 8]]), 0)</f>
        <v>0</v>
      </c>
      <c r="X1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2" s="100">
        <f>MAX(SamplingData[[#This Row],[Error Bound (up) - Max. possible relative overstatement - Losing Candidate]:[Error Bound (up) - Max. possible relative overstatement - Candidate 12]])</f>
        <v>1.0160307067058026E-3</v>
      </c>
      <c r="AC182" s="100">
        <f>IF(SamplingData[[#This Row],[Max Error Bound (up)]] = 0,0,SamplingData[[#This Row],[Max Error Bound (up)]]/SamplingData[[#Totals],[Max Error Bound (up)]])</f>
        <v>4.1236170194508727E-4</v>
      </c>
      <c r="AD182" s="104">
        <f>SUM($AC$5:AC182)</f>
        <v>0.1659584029333139</v>
      </c>
      <c r="AE182" s="100" t="str" cm="1">
        <f t="array" ref="AE182">IF(SamplingData[[#This Row],[up/U Selection Probability]] = 0, "Zero", TEXT(SamplingData[[#This Row],[Lower Range]], REPT("0",LEN('General Info'!$B$42))) &amp; " - " &amp; TEXT(SamplingData[[#This Row],[Upper Range]], REPT("0",LEN('General Info'!$B$42))))</f>
        <v>16555 - 16595</v>
      </c>
      <c r="AF182" s="100">
        <f>SamplingData[[#This Row],[Upper Range]]-SamplingData[[#This Row],[Span]]</f>
        <v>16554.604123136884</v>
      </c>
      <c r="AG182" s="100">
        <f>IF(ISNUMBER('General Info'!$B$42), ((SamplingData[[#This Row],[up/U Selection Probability]]) * 'General Info'!$B$44) - 1, 0)</f>
        <v>40.236170194508723</v>
      </c>
      <c r="AH182" s="100">
        <f>IF(ISNUMBER('General Info'!$B$42), (SamplingData[[#This Row],[Running (cumulative) sum]] * ('General Info'!$B$42 -'General Info'!$B$43 + 1)) + 'General Info'!$B$43 - 1, 0)</f>
        <v>16594.840293331392</v>
      </c>
      <c r="AI182" s="100" t="str">
        <f>IF(ISERROR(MATCH(SamplingData[[#This Row],[Batch by Type (p)]],SelectedPrecincts[Batch Name], 0)), "", INDEX(SelectedPrecincts[Draw], MATCH(SamplingData[[#This Row],[Batch by Type (p)]],SelectedPrecincts[Batch Name], 0)))</f>
        <v/>
      </c>
      <c r="AJ182" s="101">
        <f>IF(COUNTIF(SelectedPrecincts[Batch Name],SamplingData[[#This Row],[Batch by Type (p)]]) &lt;&gt; 0, COUNTIF(SelectedPrecincts[Batch Name],SamplingData[[#This Row],[Batch by Type (p)]]), 0)</f>
        <v>0</v>
      </c>
    </row>
    <row r="183" spans="1:36" ht="15" customHeight="1" x14ac:dyDescent="0.35">
      <c r="A183" s="98" t="s">
        <v>394</v>
      </c>
      <c r="B183" s="98">
        <v>1</v>
      </c>
      <c r="C183" s="98">
        <v>0</v>
      </c>
      <c r="D183" s="93">
        <v>0</v>
      </c>
      <c r="E183" s="93"/>
      <c r="F183" s="93"/>
      <c r="G183" s="97"/>
      <c r="H183" s="97"/>
      <c r="I183" s="93"/>
      <c r="J183" s="93"/>
      <c r="K183" s="93"/>
      <c r="L183" s="93"/>
      <c r="M183" s="93"/>
      <c r="N183" s="98">
        <v>0</v>
      </c>
      <c r="O183" s="98">
        <v>0</v>
      </c>
      <c r="P183" s="99">
        <f>SUM(SamplingData[[#This Row],[Winning Candidate]:[Under Votes]])</f>
        <v>1</v>
      </c>
      <c r="Q183"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183" s="100">
        <f>IF(AND(SamplingData[[#This Row],[Total]]&lt;&gt; 0, NOT(ISBLANK(SamplingData[[#This Row],[Candidate 3]]))),(SamplingData[[#This Row],[Total]]+SamplingData[[#This Row],[Winning Candidate]]-SamplingData[[#This Row],[Candidate 3]])/(SamplingData[[#Totals],[Winning Candidate]]-SamplingData[[#Totals],[Candidate 3]]), 0)</f>
        <v>1.1289230074508918E-4</v>
      </c>
      <c r="S183" s="100">
        <f>IF(AND(SamplingData[[#This Row],[Total]]&lt;&gt; 0, NOT(ISBLANK(SamplingData[[#This Row],[Candidate 4]]))),(SamplingData[[#This Row],[Total]]+SamplingData[[#This Row],[Winning Candidate]]-SamplingData[[#This Row],[Candidate 4]])/(SamplingData[[#Totals],[Winning Candidate]]-SamplingData[[#Totals],[Candidate 4]]), 0)</f>
        <v>0</v>
      </c>
      <c r="T183" s="100">
        <f>IF(AND(SamplingData[[#This Row],[Total]]&lt;&gt; 0, NOT(ISBLANK(SamplingData[[#This Row],[Candidate 5]]))),(SamplingData[[#This Row],[Total]]+SamplingData[[#This Row],[Winning Candidate]]-SamplingData[[#This Row],[Candidate 5]])/(SamplingData[[#Totals],[Winning Candidate]]-SamplingData[[#Totals],[Candidate 5]]), 0)</f>
        <v>0</v>
      </c>
      <c r="U183" s="100">
        <f>IF(AND(SamplingData[[#This Row],[Total]]&lt;&gt; 0, NOT(ISBLANK(SamplingData[[#This Row],[Candidate 6]]))),(SamplingData[[#This Row],[Total]]+SamplingData[[#This Row],[Losing Candidate]]-SamplingData[[#This Row],[Candidate 6]])/(SamplingData[[#Totals],[Winning Candidate]]-SamplingData[[#Totals],[Candidate 6]]), 0)</f>
        <v>0</v>
      </c>
      <c r="V183" s="100">
        <f>IF(AND(SamplingData[[#This Row],[Total]]&lt;&gt; 0, NOT(ISBLANK(SamplingData[[#This Row],[Candidate 7]]))),(SamplingData[[#This Row],[Total]]+SamplingData[[#This Row],[Winning Candidate]]-SamplingData[[#This Row],[Candidate 7]])/(SamplingData[[#Totals],[Winning Candidate]]-SamplingData[[#Totals],[Candidate 7]]), 0)</f>
        <v>0</v>
      </c>
      <c r="W183" s="100">
        <f>IF(AND(SamplingData[[#This Row],[Total]]&lt;&gt; 0, NOT(ISBLANK(SamplingData[[#This Row],[Candidate 8]]))),(SamplingData[[#This Row],[Total]]+SamplingData[[#This Row],[Winning Candidate]]-SamplingData[[#This Row],[Candidate 8]])/(SamplingData[[#Totals],[Winning Candidate]]-SamplingData[[#Totals],[Candidate 8]]), 0)</f>
        <v>0</v>
      </c>
      <c r="X1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3" s="100">
        <f>MAX(SamplingData[[#This Row],[Error Bound (up) - Max. possible relative overstatement - Losing Candidate]:[Error Bound (up) - Max. possible relative overstatement - Candidate 12]])</f>
        <v>1.2641425952847481E-4</v>
      </c>
      <c r="AC183" s="100">
        <f>IF(SamplingData[[#This Row],[Max Error Bound (up)]] = 0,0,SamplingData[[#This Row],[Max Error Bound (up)]]/SamplingData[[#Totals],[Max Error Bound (up)]])</f>
        <v>5.1305928910654381E-5</v>
      </c>
      <c r="AD183" s="104">
        <f>SUM($AC$5:AC183)</f>
        <v>0.16600970886222455</v>
      </c>
      <c r="AE183" s="100" t="str" cm="1">
        <f t="array" ref="AE183">IF(SamplingData[[#This Row],[up/U Selection Probability]] = 0, "Zero", TEXT(SamplingData[[#This Row],[Lower Range]], REPT("0",LEN('General Info'!$B$42))) &amp; " - " &amp; TEXT(SamplingData[[#This Row],[Upper Range]], REPT("0",LEN('General Info'!$B$42))))</f>
        <v>16596 - 16600</v>
      </c>
      <c r="AF183" s="100">
        <f>SamplingData[[#This Row],[Upper Range]]-SamplingData[[#This Row],[Span]]</f>
        <v>16595.840293331388</v>
      </c>
      <c r="AG183" s="100">
        <f>IF(ISNUMBER('General Info'!$B$42), ((SamplingData[[#This Row],[up/U Selection Probability]]) * 'General Info'!$B$44) - 1, 0)</f>
        <v>4.1305928910654384</v>
      </c>
      <c r="AH183" s="100">
        <f>IF(ISNUMBER('General Info'!$B$42), (SamplingData[[#This Row],[Running (cumulative) sum]] * ('General Info'!$B$42 -'General Info'!$B$43 + 1)) + 'General Info'!$B$43 - 1, 0)</f>
        <v>16599.970886222454</v>
      </c>
      <c r="AI183" s="100" t="str">
        <f>IF(ISERROR(MATCH(SamplingData[[#This Row],[Batch by Type (p)]],SelectedPrecincts[Batch Name], 0)), "", INDEX(SelectedPrecincts[Draw], MATCH(SamplingData[[#This Row],[Batch by Type (p)]],SelectedPrecincts[Batch Name], 0)))</f>
        <v/>
      </c>
      <c r="AJ183" s="101">
        <f>IF(COUNTIF(SelectedPrecincts[Batch Name],SamplingData[[#This Row],[Batch by Type (p)]]) &lt;&gt; 0, COUNTIF(SelectedPrecincts[Batch Name],SamplingData[[#This Row],[Batch by Type (p)]]), 0)</f>
        <v>0</v>
      </c>
    </row>
    <row r="184" spans="1:36" ht="15" customHeight="1" x14ac:dyDescent="0.35">
      <c r="A184" s="98" t="s">
        <v>395</v>
      </c>
      <c r="B184" s="98">
        <v>7</v>
      </c>
      <c r="C184" s="98">
        <v>2</v>
      </c>
      <c r="D184" s="93">
        <v>2</v>
      </c>
      <c r="E184" s="93"/>
      <c r="F184" s="93"/>
      <c r="G184" s="97"/>
      <c r="H184" s="97"/>
      <c r="I184" s="93"/>
      <c r="J184" s="93"/>
      <c r="K184" s="93"/>
      <c r="L184" s="93"/>
      <c r="M184" s="93"/>
      <c r="N184" s="98">
        <v>0</v>
      </c>
      <c r="O184" s="98">
        <v>0</v>
      </c>
      <c r="P184" s="99">
        <f>SUM(SamplingData[[#This Row],[Winning Candidate]:[Under Votes]])</f>
        <v>11</v>
      </c>
      <c r="Q184"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184" s="100">
        <f>IF(AND(SamplingData[[#This Row],[Total]]&lt;&gt; 0, NOT(ISBLANK(SamplingData[[#This Row],[Candidate 3]]))),(SamplingData[[#This Row],[Total]]+SamplingData[[#This Row],[Winning Candidate]]-SamplingData[[#This Row],[Candidate 3]])/(SamplingData[[#Totals],[Winning Candidate]]-SamplingData[[#Totals],[Candidate 3]]), 0)</f>
        <v>9.0313840596071345E-4</v>
      </c>
      <c r="S184" s="100">
        <f>IF(AND(SamplingData[[#This Row],[Total]]&lt;&gt; 0, NOT(ISBLANK(SamplingData[[#This Row],[Candidate 4]]))),(SamplingData[[#This Row],[Total]]+SamplingData[[#This Row],[Winning Candidate]]-SamplingData[[#This Row],[Candidate 4]])/(SamplingData[[#Totals],[Winning Candidate]]-SamplingData[[#Totals],[Candidate 4]]), 0)</f>
        <v>0</v>
      </c>
      <c r="T184" s="100">
        <f>IF(AND(SamplingData[[#This Row],[Total]]&lt;&gt; 0, NOT(ISBLANK(SamplingData[[#This Row],[Candidate 5]]))),(SamplingData[[#This Row],[Total]]+SamplingData[[#This Row],[Winning Candidate]]-SamplingData[[#This Row],[Candidate 5]])/(SamplingData[[#Totals],[Winning Candidate]]-SamplingData[[#Totals],[Candidate 5]]), 0)</f>
        <v>0</v>
      </c>
      <c r="U184" s="100">
        <f>IF(AND(SamplingData[[#This Row],[Total]]&lt;&gt; 0, NOT(ISBLANK(SamplingData[[#This Row],[Candidate 6]]))),(SamplingData[[#This Row],[Total]]+SamplingData[[#This Row],[Losing Candidate]]-SamplingData[[#This Row],[Candidate 6]])/(SamplingData[[#Totals],[Winning Candidate]]-SamplingData[[#Totals],[Candidate 6]]), 0)</f>
        <v>0</v>
      </c>
      <c r="V184" s="100">
        <f>IF(AND(SamplingData[[#This Row],[Total]]&lt;&gt; 0, NOT(ISBLANK(SamplingData[[#This Row],[Candidate 7]]))),(SamplingData[[#This Row],[Total]]+SamplingData[[#This Row],[Winning Candidate]]-SamplingData[[#This Row],[Candidate 7]])/(SamplingData[[#Totals],[Winning Candidate]]-SamplingData[[#Totals],[Candidate 7]]), 0)</f>
        <v>0</v>
      </c>
      <c r="W184" s="100">
        <f>IF(AND(SamplingData[[#This Row],[Total]]&lt;&gt; 0, NOT(ISBLANK(SamplingData[[#This Row],[Candidate 8]]))),(SamplingData[[#This Row],[Total]]+SamplingData[[#This Row],[Winning Candidate]]-SamplingData[[#This Row],[Candidate 8]])/(SamplingData[[#Totals],[Winning Candidate]]-SamplingData[[#Totals],[Candidate 8]]), 0)</f>
        <v>0</v>
      </c>
      <c r="X1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4" s="100">
        <f>MAX(SamplingData[[#This Row],[Error Bound (up) - Max. possible relative overstatement - Losing Candidate]:[Error Bound (up) - Max. possible relative overstatement - Candidate 12]])</f>
        <v>1.0113140762277985E-3</v>
      </c>
      <c r="AC184" s="100">
        <f>IF(SamplingData[[#This Row],[Max Error Bound (up)]] = 0,0,SamplingData[[#This Row],[Max Error Bound (up)]]/SamplingData[[#Totals],[Max Error Bound (up)]])</f>
        <v>4.1044743128523505E-4</v>
      </c>
      <c r="AD184" s="104">
        <f>SUM($AC$5:AC184)</f>
        <v>0.16642015629350979</v>
      </c>
      <c r="AE184" s="100" t="str" cm="1">
        <f t="array" ref="AE184">IF(SamplingData[[#This Row],[up/U Selection Probability]] = 0, "Zero", TEXT(SamplingData[[#This Row],[Lower Range]], REPT("0",LEN('General Info'!$B$42))) &amp; " - " &amp; TEXT(SamplingData[[#This Row],[Upper Range]], REPT("0",LEN('General Info'!$B$42))))</f>
        <v>16601 - 16641</v>
      </c>
      <c r="AF184" s="100">
        <f>SamplingData[[#This Row],[Upper Range]]-SamplingData[[#This Row],[Span]]</f>
        <v>16600.970886222454</v>
      </c>
      <c r="AG184" s="100">
        <f>IF(ISNUMBER('General Info'!$B$42), ((SamplingData[[#This Row],[up/U Selection Probability]]) * 'General Info'!$B$44) - 1, 0)</f>
        <v>40.044743128523507</v>
      </c>
      <c r="AH184" s="100">
        <f>IF(ISNUMBER('General Info'!$B$42), (SamplingData[[#This Row],[Running (cumulative) sum]] * ('General Info'!$B$42 -'General Info'!$B$43 + 1)) + 'General Info'!$B$43 - 1, 0)</f>
        <v>16641.015629350979</v>
      </c>
      <c r="AI184" s="100" t="str">
        <f>IF(ISERROR(MATCH(SamplingData[[#This Row],[Batch by Type (p)]],SelectedPrecincts[Batch Name], 0)), "", INDEX(SelectedPrecincts[Draw], MATCH(SamplingData[[#This Row],[Batch by Type (p)]],SelectedPrecincts[Batch Name], 0)))</f>
        <v/>
      </c>
      <c r="AJ184" s="101">
        <f>IF(COUNTIF(SelectedPrecincts[Batch Name],SamplingData[[#This Row],[Batch by Type (p)]]) &lt;&gt; 0, COUNTIF(SelectedPrecincts[Batch Name],SamplingData[[#This Row],[Batch by Type (p)]]), 0)</f>
        <v>0</v>
      </c>
    </row>
    <row r="185" spans="1:36" ht="15" customHeight="1" x14ac:dyDescent="0.35">
      <c r="A185" s="98" t="s">
        <v>396</v>
      </c>
      <c r="B185" s="98">
        <v>7</v>
      </c>
      <c r="C185" s="98">
        <v>5</v>
      </c>
      <c r="D185" s="93">
        <v>0</v>
      </c>
      <c r="E185" s="93"/>
      <c r="F185" s="93"/>
      <c r="G185" s="97"/>
      <c r="H185" s="97"/>
      <c r="I185" s="93"/>
      <c r="J185" s="93"/>
      <c r="K185" s="93"/>
      <c r="L185" s="93"/>
      <c r="M185" s="93"/>
      <c r="N185" s="98">
        <v>0</v>
      </c>
      <c r="O185" s="98">
        <v>0</v>
      </c>
      <c r="P185" s="99">
        <f>SUM(SamplingData[[#This Row],[Winning Candidate]:[Under Votes]])</f>
        <v>12</v>
      </c>
      <c r="Q185" s="100">
        <f>IF(AND(SamplingData[[#This Row],[Total]]&lt;&gt; 0, NOT(ISBLANK(SamplingData[[#This Row],[Losing Candidate]]))),(SamplingData[[#This Row],[Total]]+SamplingData[[#This Row],[Winning Candidate]]-SamplingData[[#This Row],[Losing Candidate]])/(SamplingData[[#Totals],[Winning Candidate]]-SamplingData[[#Totals],[Losing Candidate]]), 0)</f>
        <v>8.848998166993237E-4</v>
      </c>
      <c r="R185" s="100">
        <f>IF(AND(SamplingData[[#This Row],[Total]]&lt;&gt; 0, NOT(ISBLANK(SamplingData[[#This Row],[Candidate 3]]))),(SamplingData[[#This Row],[Total]]+SamplingData[[#This Row],[Winning Candidate]]-SamplingData[[#This Row],[Candidate 3]])/(SamplingData[[#Totals],[Winning Candidate]]-SamplingData[[#Totals],[Candidate 3]]), 0)</f>
        <v>1.0724768570783473E-3</v>
      </c>
      <c r="S185" s="100">
        <f>IF(AND(SamplingData[[#This Row],[Total]]&lt;&gt; 0, NOT(ISBLANK(SamplingData[[#This Row],[Candidate 4]]))),(SamplingData[[#This Row],[Total]]+SamplingData[[#This Row],[Winning Candidate]]-SamplingData[[#This Row],[Candidate 4]])/(SamplingData[[#Totals],[Winning Candidate]]-SamplingData[[#Totals],[Candidate 4]]), 0)</f>
        <v>0</v>
      </c>
      <c r="T185" s="100">
        <f>IF(AND(SamplingData[[#This Row],[Total]]&lt;&gt; 0, NOT(ISBLANK(SamplingData[[#This Row],[Candidate 5]]))),(SamplingData[[#This Row],[Total]]+SamplingData[[#This Row],[Winning Candidate]]-SamplingData[[#This Row],[Candidate 5]])/(SamplingData[[#Totals],[Winning Candidate]]-SamplingData[[#Totals],[Candidate 5]]), 0)</f>
        <v>0</v>
      </c>
      <c r="U185" s="100">
        <f>IF(AND(SamplingData[[#This Row],[Total]]&lt;&gt; 0, NOT(ISBLANK(SamplingData[[#This Row],[Candidate 6]]))),(SamplingData[[#This Row],[Total]]+SamplingData[[#This Row],[Losing Candidate]]-SamplingData[[#This Row],[Candidate 6]])/(SamplingData[[#Totals],[Winning Candidate]]-SamplingData[[#Totals],[Candidate 6]]), 0)</f>
        <v>0</v>
      </c>
      <c r="V185" s="100">
        <f>IF(AND(SamplingData[[#This Row],[Total]]&lt;&gt; 0, NOT(ISBLANK(SamplingData[[#This Row],[Candidate 7]]))),(SamplingData[[#This Row],[Total]]+SamplingData[[#This Row],[Winning Candidate]]-SamplingData[[#This Row],[Candidate 7]])/(SamplingData[[#Totals],[Winning Candidate]]-SamplingData[[#Totals],[Candidate 7]]), 0)</f>
        <v>0</v>
      </c>
      <c r="W185" s="100">
        <f>IF(AND(SamplingData[[#This Row],[Total]]&lt;&gt; 0, NOT(ISBLANK(SamplingData[[#This Row],[Candidate 8]]))),(SamplingData[[#This Row],[Total]]+SamplingData[[#This Row],[Winning Candidate]]-SamplingData[[#This Row],[Candidate 8]])/(SamplingData[[#Totals],[Winning Candidate]]-SamplingData[[#Totals],[Candidate 8]]), 0)</f>
        <v>0</v>
      </c>
      <c r="X1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5" s="100">
        <f>MAX(SamplingData[[#This Row],[Error Bound (up) - Max. possible relative overstatement - Losing Candidate]:[Error Bound (up) - Max. possible relative overstatement - Candidate 12]])</f>
        <v>1.0724768570783473E-3</v>
      </c>
      <c r="AC185" s="100">
        <f>IF(SamplingData[[#This Row],[Max Error Bound (up)]] = 0,0,SamplingData[[#This Row],[Max Error Bound (up)]]/SamplingData[[#Totals],[Max Error Bound (up)]])</f>
        <v>4.3527068538648099E-4</v>
      </c>
      <c r="AD185" s="104">
        <f>SUM($AC$5:AC185)</f>
        <v>0.16685542697889627</v>
      </c>
      <c r="AE185" s="100" t="str" cm="1">
        <f t="array" ref="AE185">IF(SamplingData[[#This Row],[up/U Selection Probability]] = 0, "Zero", TEXT(SamplingData[[#This Row],[Lower Range]], REPT("0",LEN('General Info'!$B$42))) &amp; " - " &amp; TEXT(SamplingData[[#This Row],[Upper Range]], REPT("0",LEN('General Info'!$B$42))))</f>
        <v>16642 - 16685</v>
      </c>
      <c r="AF185" s="100">
        <f>SamplingData[[#This Row],[Upper Range]]-SamplingData[[#This Row],[Span]]</f>
        <v>16642.015629350979</v>
      </c>
      <c r="AG185" s="100">
        <f>IF(ISNUMBER('General Info'!$B$42), ((SamplingData[[#This Row],[up/U Selection Probability]]) * 'General Info'!$B$44) - 1, 0)</f>
        <v>42.527068538648102</v>
      </c>
      <c r="AH185" s="100">
        <f>IF(ISNUMBER('General Info'!$B$42), (SamplingData[[#This Row],[Running (cumulative) sum]] * ('General Info'!$B$42 -'General Info'!$B$43 + 1)) + 'General Info'!$B$43 - 1, 0)</f>
        <v>16684.542697889628</v>
      </c>
      <c r="AI185" s="100" t="str">
        <f>IF(ISERROR(MATCH(SamplingData[[#This Row],[Batch by Type (p)]],SelectedPrecincts[Batch Name], 0)), "", INDEX(SelectedPrecincts[Draw], MATCH(SamplingData[[#This Row],[Batch by Type (p)]],SelectedPrecincts[Batch Name], 0)))</f>
        <v/>
      </c>
      <c r="AJ185" s="101">
        <f>IF(COUNTIF(SelectedPrecincts[Batch Name],SamplingData[[#This Row],[Batch by Type (p)]]) &lt;&gt; 0, COUNTIF(SelectedPrecincts[Batch Name],SamplingData[[#This Row],[Batch by Type (p)]]), 0)</f>
        <v>0</v>
      </c>
    </row>
    <row r="186" spans="1:36" ht="15" customHeight="1" x14ac:dyDescent="0.35">
      <c r="A186" s="98" t="s">
        <v>397</v>
      </c>
      <c r="B186" s="98">
        <v>8</v>
      </c>
      <c r="C186" s="98">
        <v>4</v>
      </c>
      <c r="D186" s="93">
        <v>0</v>
      </c>
      <c r="E186" s="93"/>
      <c r="F186" s="93"/>
      <c r="G186" s="97"/>
      <c r="H186" s="97"/>
      <c r="I186" s="93"/>
      <c r="J186" s="93"/>
      <c r="K186" s="93"/>
      <c r="L186" s="93"/>
      <c r="M186" s="93"/>
      <c r="N186" s="98">
        <v>0</v>
      </c>
      <c r="O186" s="98">
        <v>0</v>
      </c>
      <c r="P186" s="99">
        <f>SUM(SamplingData[[#This Row],[Winning Candidate]:[Under Votes]])</f>
        <v>12</v>
      </c>
      <c r="Q186"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186" s="100">
        <f>IF(AND(SamplingData[[#This Row],[Total]]&lt;&gt; 0, NOT(ISBLANK(SamplingData[[#This Row],[Candidate 3]]))),(SamplingData[[#This Row],[Total]]+SamplingData[[#This Row],[Winning Candidate]]-SamplingData[[#This Row],[Candidate 3]])/(SamplingData[[#Totals],[Winning Candidate]]-SamplingData[[#Totals],[Candidate 3]]), 0)</f>
        <v>1.1289230074508919E-3</v>
      </c>
      <c r="S186" s="100">
        <f>IF(AND(SamplingData[[#This Row],[Total]]&lt;&gt; 0, NOT(ISBLANK(SamplingData[[#This Row],[Candidate 4]]))),(SamplingData[[#This Row],[Total]]+SamplingData[[#This Row],[Winning Candidate]]-SamplingData[[#This Row],[Candidate 4]])/(SamplingData[[#Totals],[Winning Candidate]]-SamplingData[[#Totals],[Candidate 4]]), 0)</f>
        <v>0</v>
      </c>
      <c r="T186" s="100">
        <f>IF(AND(SamplingData[[#This Row],[Total]]&lt;&gt; 0, NOT(ISBLANK(SamplingData[[#This Row],[Candidate 5]]))),(SamplingData[[#This Row],[Total]]+SamplingData[[#This Row],[Winning Candidate]]-SamplingData[[#This Row],[Candidate 5]])/(SamplingData[[#Totals],[Winning Candidate]]-SamplingData[[#Totals],[Candidate 5]]), 0)</f>
        <v>0</v>
      </c>
      <c r="U186" s="100">
        <f>IF(AND(SamplingData[[#This Row],[Total]]&lt;&gt; 0, NOT(ISBLANK(SamplingData[[#This Row],[Candidate 6]]))),(SamplingData[[#This Row],[Total]]+SamplingData[[#This Row],[Losing Candidate]]-SamplingData[[#This Row],[Candidate 6]])/(SamplingData[[#Totals],[Winning Candidate]]-SamplingData[[#Totals],[Candidate 6]]), 0)</f>
        <v>0</v>
      </c>
      <c r="V186" s="100">
        <f>IF(AND(SamplingData[[#This Row],[Total]]&lt;&gt; 0, NOT(ISBLANK(SamplingData[[#This Row],[Candidate 7]]))),(SamplingData[[#This Row],[Total]]+SamplingData[[#This Row],[Winning Candidate]]-SamplingData[[#This Row],[Candidate 7]])/(SamplingData[[#Totals],[Winning Candidate]]-SamplingData[[#Totals],[Candidate 7]]), 0)</f>
        <v>0</v>
      </c>
      <c r="W186" s="100">
        <f>IF(AND(SamplingData[[#This Row],[Total]]&lt;&gt; 0, NOT(ISBLANK(SamplingData[[#This Row],[Candidate 8]]))),(SamplingData[[#This Row],[Total]]+SamplingData[[#This Row],[Winning Candidate]]-SamplingData[[#This Row],[Candidate 8]])/(SamplingData[[#Totals],[Winning Candidate]]-SamplingData[[#Totals],[Candidate 8]]), 0)</f>
        <v>0</v>
      </c>
      <c r="X1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6" s="100">
        <f>MAX(SamplingData[[#This Row],[Error Bound (up) - Max. possible relative overstatement - Losing Candidate]:[Error Bound (up) - Max. possible relative overstatement - Candidate 12]])</f>
        <v>1.1289230074508919E-3</v>
      </c>
      <c r="AC186" s="100">
        <f>IF(SamplingData[[#This Row],[Max Error Bound (up)]] = 0,0,SamplingData[[#This Row],[Max Error Bound (up)]]/SamplingData[[#Totals],[Max Error Bound (up)]])</f>
        <v>4.5817966882787478E-4</v>
      </c>
      <c r="AD186" s="104">
        <f>SUM($AC$5:AC186)</f>
        <v>0.16731360664772416</v>
      </c>
      <c r="AE186" s="100" t="str" cm="1">
        <f t="array" ref="AE186">IF(SamplingData[[#This Row],[up/U Selection Probability]] = 0, "Zero", TEXT(SamplingData[[#This Row],[Lower Range]], REPT("0",LEN('General Info'!$B$42))) &amp; " - " &amp; TEXT(SamplingData[[#This Row],[Upper Range]], REPT("0",LEN('General Info'!$B$42))))</f>
        <v>16686 - 16730</v>
      </c>
      <c r="AF186" s="100">
        <f>SamplingData[[#This Row],[Upper Range]]-SamplingData[[#This Row],[Span]]</f>
        <v>16685.542697889628</v>
      </c>
      <c r="AG186" s="100">
        <f>IF(ISNUMBER('General Info'!$B$42), ((SamplingData[[#This Row],[up/U Selection Probability]]) * 'General Info'!$B$44) - 1, 0)</f>
        <v>44.817966882787481</v>
      </c>
      <c r="AH186" s="100">
        <f>IF(ISNUMBER('General Info'!$B$42), (SamplingData[[#This Row],[Running (cumulative) sum]] * ('General Info'!$B$42 -'General Info'!$B$43 + 1)) + 'General Info'!$B$43 - 1, 0)</f>
        <v>16730.360664772415</v>
      </c>
      <c r="AI186" s="100" t="str">
        <f>IF(ISERROR(MATCH(SamplingData[[#This Row],[Batch by Type (p)]],SelectedPrecincts[Batch Name], 0)), "", INDEX(SelectedPrecincts[Draw], MATCH(SamplingData[[#This Row],[Batch by Type (p)]],SelectedPrecincts[Batch Name], 0)))</f>
        <v/>
      </c>
      <c r="AJ186" s="101">
        <f>IF(COUNTIF(SelectedPrecincts[Batch Name],SamplingData[[#This Row],[Batch by Type (p)]]) &lt;&gt; 0, COUNTIF(SelectedPrecincts[Batch Name],SamplingData[[#This Row],[Batch by Type (p)]]), 0)</f>
        <v>0</v>
      </c>
    </row>
    <row r="187" spans="1:36" ht="15" customHeight="1" x14ac:dyDescent="0.35">
      <c r="A187" s="98" t="s">
        <v>398</v>
      </c>
      <c r="B187" s="98">
        <v>6</v>
      </c>
      <c r="C187" s="98">
        <v>2</v>
      </c>
      <c r="D187" s="93">
        <v>0</v>
      </c>
      <c r="E187" s="93"/>
      <c r="F187" s="93"/>
      <c r="G187" s="97"/>
      <c r="H187" s="97"/>
      <c r="I187" s="93"/>
      <c r="J187" s="93"/>
      <c r="K187" s="93"/>
      <c r="L187" s="93"/>
      <c r="M187" s="93"/>
      <c r="N187" s="98">
        <v>0</v>
      </c>
      <c r="O187" s="98">
        <v>0</v>
      </c>
      <c r="P187" s="99">
        <f>SUM(SamplingData[[#This Row],[Winning Candidate]:[Under Votes]])</f>
        <v>8</v>
      </c>
      <c r="Q187" s="100">
        <f>IF(AND(SamplingData[[#This Row],[Total]]&lt;&gt; 0, NOT(ISBLANK(SamplingData[[#This Row],[Losing Candidate]]))),(SamplingData[[#This Row],[Total]]+SamplingData[[#This Row],[Winning Candidate]]-SamplingData[[#This Row],[Losing Candidate]])/(SamplingData[[#Totals],[Winning Candidate]]-SamplingData[[#Totals],[Losing Candidate]]), 0)</f>
        <v>7.5848555717084889E-4</v>
      </c>
      <c r="R187" s="100">
        <f>IF(AND(SamplingData[[#This Row],[Total]]&lt;&gt; 0, NOT(ISBLANK(SamplingData[[#This Row],[Candidate 3]]))),(SamplingData[[#This Row],[Total]]+SamplingData[[#This Row],[Winning Candidate]]-SamplingData[[#This Row],[Candidate 3]])/(SamplingData[[#Totals],[Winning Candidate]]-SamplingData[[#Totals],[Candidate 3]]), 0)</f>
        <v>7.9024610521562428E-4</v>
      </c>
      <c r="S187" s="100">
        <f>IF(AND(SamplingData[[#This Row],[Total]]&lt;&gt; 0, NOT(ISBLANK(SamplingData[[#This Row],[Candidate 4]]))),(SamplingData[[#This Row],[Total]]+SamplingData[[#This Row],[Winning Candidate]]-SamplingData[[#This Row],[Candidate 4]])/(SamplingData[[#Totals],[Winning Candidate]]-SamplingData[[#Totals],[Candidate 4]]), 0)</f>
        <v>0</v>
      </c>
      <c r="T187" s="100">
        <f>IF(AND(SamplingData[[#This Row],[Total]]&lt;&gt; 0, NOT(ISBLANK(SamplingData[[#This Row],[Candidate 5]]))),(SamplingData[[#This Row],[Total]]+SamplingData[[#This Row],[Winning Candidate]]-SamplingData[[#This Row],[Candidate 5]])/(SamplingData[[#Totals],[Winning Candidate]]-SamplingData[[#Totals],[Candidate 5]]), 0)</f>
        <v>0</v>
      </c>
      <c r="U187" s="100">
        <f>IF(AND(SamplingData[[#This Row],[Total]]&lt;&gt; 0, NOT(ISBLANK(SamplingData[[#This Row],[Candidate 6]]))),(SamplingData[[#This Row],[Total]]+SamplingData[[#This Row],[Losing Candidate]]-SamplingData[[#This Row],[Candidate 6]])/(SamplingData[[#Totals],[Winning Candidate]]-SamplingData[[#Totals],[Candidate 6]]), 0)</f>
        <v>0</v>
      </c>
      <c r="V187" s="100">
        <f>IF(AND(SamplingData[[#This Row],[Total]]&lt;&gt; 0, NOT(ISBLANK(SamplingData[[#This Row],[Candidate 7]]))),(SamplingData[[#This Row],[Total]]+SamplingData[[#This Row],[Winning Candidate]]-SamplingData[[#This Row],[Candidate 7]])/(SamplingData[[#Totals],[Winning Candidate]]-SamplingData[[#Totals],[Candidate 7]]), 0)</f>
        <v>0</v>
      </c>
      <c r="W187" s="100">
        <f>IF(AND(SamplingData[[#This Row],[Total]]&lt;&gt; 0, NOT(ISBLANK(SamplingData[[#This Row],[Candidate 8]]))),(SamplingData[[#This Row],[Total]]+SamplingData[[#This Row],[Winning Candidate]]-SamplingData[[#This Row],[Candidate 8]])/(SamplingData[[#Totals],[Winning Candidate]]-SamplingData[[#Totals],[Candidate 8]]), 0)</f>
        <v>0</v>
      </c>
      <c r="X1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7" s="100">
        <f>MAX(SamplingData[[#This Row],[Error Bound (up) - Max. possible relative overstatement - Losing Candidate]:[Error Bound (up) - Max. possible relative overstatement - Candidate 12]])</f>
        <v>7.9024610521562428E-4</v>
      </c>
      <c r="AC187" s="100">
        <f>IF(SamplingData[[#This Row],[Max Error Bound (up)]] = 0,0,SamplingData[[#This Row],[Max Error Bound (up)]]/SamplingData[[#Totals],[Max Error Bound (up)]])</f>
        <v>3.207257681795123E-4</v>
      </c>
      <c r="AD187" s="104">
        <f>SUM($AC$5:AC187)</f>
        <v>0.16763433241590367</v>
      </c>
      <c r="AE187" s="100" t="str" cm="1">
        <f t="array" ref="AE187">IF(SamplingData[[#This Row],[up/U Selection Probability]] = 0, "Zero", TEXT(SamplingData[[#This Row],[Lower Range]], REPT("0",LEN('General Info'!$B$42))) &amp; " - " &amp; TEXT(SamplingData[[#This Row],[Upper Range]], REPT("0",LEN('General Info'!$B$42))))</f>
        <v>16731 - 16762</v>
      </c>
      <c r="AF187" s="100">
        <f>SamplingData[[#This Row],[Upper Range]]-SamplingData[[#This Row],[Span]]</f>
        <v>16731.360664772415</v>
      </c>
      <c r="AG187" s="100">
        <f>IF(ISNUMBER('General Info'!$B$42), ((SamplingData[[#This Row],[up/U Selection Probability]]) * 'General Info'!$B$44) - 1, 0)</f>
        <v>31.07257681795123</v>
      </c>
      <c r="AH187" s="100">
        <f>IF(ISNUMBER('General Info'!$B$42), (SamplingData[[#This Row],[Running (cumulative) sum]] * ('General Info'!$B$42 -'General Info'!$B$43 + 1)) + 'General Info'!$B$43 - 1, 0)</f>
        <v>16762.433241590366</v>
      </c>
      <c r="AI187" s="100" t="str">
        <f>IF(ISERROR(MATCH(SamplingData[[#This Row],[Batch by Type (p)]],SelectedPrecincts[Batch Name], 0)), "", INDEX(SelectedPrecincts[Draw], MATCH(SamplingData[[#This Row],[Batch by Type (p)]],SelectedPrecincts[Batch Name], 0)))</f>
        <v/>
      </c>
      <c r="AJ187" s="101">
        <f>IF(COUNTIF(SelectedPrecincts[Batch Name],SamplingData[[#This Row],[Batch by Type (p)]]) &lt;&gt; 0, COUNTIF(SelectedPrecincts[Batch Name],SamplingData[[#This Row],[Batch by Type (p)]]), 0)</f>
        <v>0</v>
      </c>
    </row>
    <row r="188" spans="1:36" ht="15" customHeight="1" x14ac:dyDescent="0.35">
      <c r="A188" s="98" t="s">
        <v>399</v>
      </c>
      <c r="B188" s="98">
        <v>0</v>
      </c>
      <c r="C188" s="98">
        <v>0</v>
      </c>
      <c r="D188" s="93">
        <v>0</v>
      </c>
      <c r="E188" s="93"/>
      <c r="F188" s="93"/>
      <c r="G188" s="97"/>
      <c r="H188" s="97"/>
      <c r="I188" s="93"/>
      <c r="J188" s="93"/>
      <c r="K188" s="93"/>
      <c r="L188" s="93"/>
      <c r="M188" s="93"/>
      <c r="N188" s="98">
        <v>0</v>
      </c>
      <c r="O188" s="98">
        <v>0</v>
      </c>
      <c r="P188" s="99">
        <f>SUM(SamplingData[[#This Row],[Winning Candidate]:[Under Votes]])</f>
        <v>0</v>
      </c>
      <c r="Q188" s="100">
        <f>IF(AND(SamplingData[[#This Row],[Total]]&lt;&gt; 0, NOT(ISBLANK(SamplingData[[#This Row],[Losing Candidate]]))),(SamplingData[[#This Row],[Total]]+SamplingData[[#This Row],[Winning Candidate]]-SamplingData[[#This Row],[Losing Candidate]])/(SamplingData[[#Totals],[Winning Candidate]]-SamplingData[[#Totals],[Losing Candidate]]), 0)</f>
        <v>0</v>
      </c>
      <c r="R188" s="100">
        <f>IF(AND(SamplingData[[#This Row],[Total]]&lt;&gt; 0, NOT(ISBLANK(SamplingData[[#This Row],[Candidate 3]]))),(SamplingData[[#This Row],[Total]]+SamplingData[[#This Row],[Winning Candidate]]-SamplingData[[#This Row],[Candidate 3]])/(SamplingData[[#Totals],[Winning Candidate]]-SamplingData[[#Totals],[Candidate 3]]), 0)</f>
        <v>0</v>
      </c>
      <c r="S188" s="100">
        <f>IF(AND(SamplingData[[#This Row],[Total]]&lt;&gt; 0, NOT(ISBLANK(SamplingData[[#This Row],[Candidate 4]]))),(SamplingData[[#This Row],[Total]]+SamplingData[[#This Row],[Winning Candidate]]-SamplingData[[#This Row],[Candidate 4]])/(SamplingData[[#Totals],[Winning Candidate]]-SamplingData[[#Totals],[Candidate 4]]), 0)</f>
        <v>0</v>
      </c>
      <c r="T188" s="100">
        <f>IF(AND(SamplingData[[#This Row],[Total]]&lt;&gt; 0, NOT(ISBLANK(SamplingData[[#This Row],[Candidate 5]]))),(SamplingData[[#This Row],[Total]]+SamplingData[[#This Row],[Winning Candidate]]-SamplingData[[#This Row],[Candidate 5]])/(SamplingData[[#Totals],[Winning Candidate]]-SamplingData[[#Totals],[Candidate 5]]), 0)</f>
        <v>0</v>
      </c>
      <c r="U188" s="100">
        <f>IF(AND(SamplingData[[#This Row],[Total]]&lt;&gt; 0, NOT(ISBLANK(SamplingData[[#This Row],[Candidate 6]]))),(SamplingData[[#This Row],[Total]]+SamplingData[[#This Row],[Losing Candidate]]-SamplingData[[#This Row],[Candidate 6]])/(SamplingData[[#Totals],[Winning Candidate]]-SamplingData[[#Totals],[Candidate 6]]), 0)</f>
        <v>0</v>
      </c>
      <c r="V188" s="100">
        <f>IF(AND(SamplingData[[#This Row],[Total]]&lt;&gt; 0, NOT(ISBLANK(SamplingData[[#This Row],[Candidate 7]]))),(SamplingData[[#This Row],[Total]]+SamplingData[[#This Row],[Winning Candidate]]-SamplingData[[#This Row],[Candidate 7]])/(SamplingData[[#Totals],[Winning Candidate]]-SamplingData[[#Totals],[Candidate 7]]), 0)</f>
        <v>0</v>
      </c>
      <c r="W188" s="100">
        <f>IF(AND(SamplingData[[#This Row],[Total]]&lt;&gt; 0, NOT(ISBLANK(SamplingData[[#This Row],[Candidate 8]]))),(SamplingData[[#This Row],[Total]]+SamplingData[[#This Row],[Winning Candidate]]-SamplingData[[#This Row],[Candidate 8]])/(SamplingData[[#Totals],[Winning Candidate]]-SamplingData[[#Totals],[Candidate 8]]), 0)</f>
        <v>0</v>
      </c>
      <c r="X1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8" s="100">
        <f>MAX(SamplingData[[#This Row],[Error Bound (up) - Max. possible relative overstatement - Losing Candidate]:[Error Bound (up) - Max. possible relative overstatement - Candidate 12]])</f>
        <v>0</v>
      </c>
      <c r="AC188" s="100">
        <f>IF(SamplingData[[#This Row],[Max Error Bound (up)]] = 0,0,SamplingData[[#This Row],[Max Error Bound (up)]]/SamplingData[[#Totals],[Max Error Bound (up)]])</f>
        <v>0</v>
      </c>
      <c r="AD188" s="104">
        <f>SUM($AC$5:AC188)</f>
        <v>0.16763433241590367</v>
      </c>
      <c r="AE188" s="100" t="str" cm="1">
        <f t="array" ref="AE188">IF(SamplingData[[#This Row],[up/U Selection Probability]] = 0, "Zero", TEXT(SamplingData[[#This Row],[Lower Range]], REPT("0",LEN('General Info'!$B$42))) &amp; " - " &amp; TEXT(SamplingData[[#This Row],[Upper Range]], REPT("0",LEN('General Info'!$B$42))))</f>
        <v>Zero</v>
      </c>
      <c r="AF188" s="100">
        <f>SamplingData[[#This Row],[Upper Range]]-SamplingData[[#This Row],[Span]]</f>
        <v>16763.433241590366</v>
      </c>
      <c r="AG188" s="100">
        <f>IF(ISNUMBER('General Info'!$B$42), ((SamplingData[[#This Row],[up/U Selection Probability]]) * 'General Info'!$B$44) - 1, 0)</f>
        <v>-1</v>
      </c>
      <c r="AH188" s="100">
        <f>IF(ISNUMBER('General Info'!$B$42), (SamplingData[[#This Row],[Running (cumulative) sum]] * ('General Info'!$B$42 -'General Info'!$B$43 + 1)) + 'General Info'!$B$43 - 1, 0)</f>
        <v>16762.433241590366</v>
      </c>
      <c r="AI188" s="100" t="str">
        <f>IF(ISERROR(MATCH(SamplingData[[#This Row],[Batch by Type (p)]],SelectedPrecincts[Batch Name], 0)), "", INDEX(SelectedPrecincts[Draw], MATCH(SamplingData[[#This Row],[Batch by Type (p)]],SelectedPrecincts[Batch Name], 0)))</f>
        <v/>
      </c>
      <c r="AJ188" s="101">
        <f>IF(COUNTIF(SelectedPrecincts[Batch Name],SamplingData[[#This Row],[Batch by Type (p)]]) &lt;&gt; 0, COUNTIF(SelectedPrecincts[Batch Name],SamplingData[[#This Row],[Batch by Type (p)]]), 0)</f>
        <v>0</v>
      </c>
    </row>
    <row r="189" spans="1:36" ht="15" customHeight="1" x14ac:dyDescent="0.35">
      <c r="A189" s="98" t="s">
        <v>400</v>
      </c>
      <c r="B189" s="98">
        <v>4</v>
      </c>
      <c r="C189" s="98">
        <v>6</v>
      </c>
      <c r="D189" s="93">
        <v>0</v>
      </c>
      <c r="E189" s="93"/>
      <c r="F189" s="93"/>
      <c r="G189" s="97"/>
      <c r="H189" s="97"/>
      <c r="I189" s="93"/>
      <c r="J189" s="93"/>
      <c r="K189" s="93"/>
      <c r="L189" s="93"/>
      <c r="M189" s="93"/>
      <c r="N189" s="98">
        <v>0</v>
      </c>
      <c r="O189" s="98">
        <v>0</v>
      </c>
      <c r="P189" s="99">
        <f>SUM(SamplingData[[#This Row],[Winning Candidate]:[Under Votes]])</f>
        <v>10</v>
      </c>
      <c r="Q189"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5.0565703811389926E-4</v>
      </c>
      <c r="R189" s="100">
        <f>IF(AND(SamplingData[[#This Row],[Total]]&lt;&gt; 0, NOT(ISBLANK(SamplingData[[#This Row],[Candidate 3]]))),(SamplingData[[#This Row],[Total]]+SamplingData[[#This Row],[Winning Candidate]]-SamplingData[[#This Row],[Candidate 3]])/(SamplingData[[#Totals],[Winning Candidate]]-SamplingData[[#Totals],[Candidate 3]]), 0)</f>
        <v>7.9024610521562428E-4</v>
      </c>
      <c r="S189" s="100">
        <f>IF(AND(SamplingData[[#This Row],[Total]]&lt;&gt; 0, NOT(ISBLANK(SamplingData[[#This Row],[Candidate 4]]))),(SamplingData[[#This Row],[Total]]+SamplingData[[#This Row],[Winning Candidate]]-SamplingData[[#This Row],[Candidate 4]])/(SamplingData[[#Totals],[Winning Candidate]]-SamplingData[[#Totals],[Candidate 4]]), 0)</f>
        <v>0</v>
      </c>
      <c r="T189" s="100">
        <f>IF(AND(SamplingData[[#This Row],[Total]]&lt;&gt; 0, NOT(ISBLANK(SamplingData[[#This Row],[Candidate 5]]))),(SamplingData[[#This Row],[Total]]+SamplingData[[#This Row],[Winning Candidate]]-SamplingData[[#This Row],[Candidate 5]])/(SamplingData[[#Totals],[Winning Candidate]]-SamplingData[[#Totals],[Candidate 5]]), 0)</f>
        <v>0</v>
      </c>
      <c r="U189" s="100">
        <f>IF(AND(SamplingData[[#This Row],[Total]]&lt;&gt; 0, NOT(ISBLANK(SamplingData[[#This Row],[Candidate 6]]))),(SamplingData[[#This Row],[Total]]+SamplingData[[#This Row],[Losing Candidate]]-SamplingData[[#This Row],[Candidate 6]])/(SamplingData[[#Totals],[Winning Candidate]]-SamplingData[[#Totals],[Candidate 6]]), 0)</f>
        <v>0</v>
      </c>
      <c r="V189" s="100">
        <f>IF(AND(SamplingData[[#This Row],[Total]]&lt;&gt; 0, NOT(ISBLANK(SamplingData[[#This Row],[Candidate 7]]))),(SamplingData[[#This Row],[Total]]+SamplingData[[#This Row],[Winning Candidate]]-SamplingData[[#This Row],[Candidate 7]])/(SamplingData[[#Totals],[Winning Candidate]]-SamplingData[[#Totals],[Candidate 7]]), 0)</f>
        <v>0</v>
      </c>
      <c r="W189" s="100">
        <f>IF(AND(SamplingData[[#This Row],[Total]]&lt;&gt; 0, NOT(ISBLANK(SamplingData[[#This Row],[Candidate 8]]))),(SamplingData[[#This Row],[Total]]+SamplingData[[#This Row],[Winning Candidate]]-SamplingData[[#This Row],[Candidate 8]])/(SamplingData[[#Totals],[Winning Candidate]]-SamplingData[[#Totals],[Candidate 8]]), 0)</f>
        <v>0</v>
      </c>
      <c r="X1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9" s="100">
        <f>MAX(SamplingData[[#This Row],[Error Bound (up) - Max. possible relative overstatement - Losing Candidate]:[Error Bound (up) - Max. possible relative overstatement - Candidate 12]])</f>
        <v>7.9024610521562428E-4</v>
      </c>
      <c r="AC189" s="100">
        <f>IF(SamplingData[[#This Row],[Max Error Bound (up)]] = 0,0,SamplingData[[#This Row],[Max Error Bound (up)]]/SamplingData[[#Totals],[Max Error Bound (up)]])</f>
        <v>3.207257681795123E-4</v>
      </c>
      <c r="AD189" s="104">
        <f>SUM($AC$5:AC189)</f>
        <v>0.16795505818408318</v>
      </c>
      <c r="AE189" s="100" t="str" cm="1">
        <f t="array" ref="AE189">IF(SamplingData[[#This Row],[up/U Selection Probability]] = 0, "Zero", TEXT(SamplingData[[#This Row],[Lower Range]], REPT("0",LEN('General Info'!$B$42))) &amp; " - " &amp; TEXT(SamplingData[[#This Row],[Upper Range]], REPT("0",LEN('General Info'!$B$42))))</f>
        <v>16763 - 16795</v>
      </c>
      <c r="AF189" s="100">
        <f>SamplingData[[#This Row],[Upper Range]]-SamplingData[[#This Row],[Span]]</f>
        <v>16763.433241590366</v>
      </c>
      <c r="AG189" s="100">
        <f>IF(ISNUMBER('General Info'!$B$42), ((SamplingData[[#This Row],[up/U Selection Probability]]) * 'General Info'!$B$44) - 1, 0)</f>
        <v>31.07257681795123</v>
      </c>
      <c r="AH189" s="100">
        <f>IF(ISNUMBER('General Info'!$B$42), (SamplingData[[#This Row],[Running (cumulative) sum]] * ('General Info'!$B$42 -'General Info'!$B$43 + 1)) + 'General Info'!$B$43 - 1, 0)</f>
        <v>16794.505818408317</v>
      </c>
      <c r="AI189" s="100" t="str">
        <f>IF(ISERROR(MATCH(SamplingData[[#This Row],[Batch by Type (p)]],SelectedPrecincts[Batch Name], 0)), "", INDEX(SelectedPrecincts[Draw], MATCH(SamplingData[[#This Row],[Batch by Type (p)]],SelectedPrecincts[Batch Name], 0)))</f>
        <v/>
      </c>
      <c r="AJ189" s="101">
        <f>IF(COUNTIF(SelectedPrecincts[Batch Name],SamplingData[[#This Row],[Batch by Type (p)]]) &lt;&gt; 0, COUNTIF(SelectedPrecincts[Batch Name],SamplingData[[#This Row],[Batch by Type (p)]]), 0)</f>
        <v>0</v>
      </c>
    </row>
    <row r="190" spans="1:36" ht="15" customHeight="1" x14ac:dyDescent="0.35">
      <c r="A190" s="98" t="s">
        <v>401</v>
      </c>
      <c r="B190" s="98">
        <v>10</v>
      </c>
      <c r="C190" s="98">
        <v>5</v>
      </c>
      <c r="D190" s="93">
        <v>0</v>
      </c>
      <c r="E190" s="93"/>
      <c r="F190" s="93"/>
      <c r="G190" s="97"/>
      <c r="H190" s="97"/>
      <c r="I190" s="93"/>
      <c r="J190" s="93"/>
      <c r="K190" s="93"/>
      <c r="L190" s="93"/>
      <c r="M190" s="93"/>
      <c r="N190" s="98">
        <v>0</v>
      </c>
      <c r="O190" s="98">
        <v>0</v>
      </c>
      <c r="P190" s="99">
        <f>SUM(SamplingData[[#This Row],[Winning Candidate]:[Under Votes]])</f>
        <v>15</v>
      </c>
      <c r="Q190"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1.2641425952847481E-3</v>
      </c>
      <c r="R190" s="100">
        <f>IF(AND(SamplingData[[#This Row],[Total]]&lt;&gt; 0, NOT(ISBLANK(SamplingData[[#This Row],[Candidate 3]]))),(SamplingData[[#This Row],[Total]]+SamplingData[[#This Row],[Winning Candidate]]-SamplingData[[#This Row],[Candidate 3]])/(SamplingData[[#Totals],[Winning Candidate]]-SamplingData[[#Totals],[Candidate 3]]), 0)</f>
        <v>1.4111537593136149E-3</v>
      </c>
      <c r="S190" s="100">
        <f>IF(AND(SamplingData[[#This Row],[Total]]&lt;&gt; 0, NOT(ISBLANK(SamplingData[[#This Row],[Candidate 4]]))),(SamplingData[[#This Row],[Total]]+SamplingData[[#This Row],[Winning Candidate]]-SamplingData[[#This Row],[Candidate 4]])/(SamplingData[[#Totals],[Winning Candidate]]-SamplingData[[#Totals],[Candidate 4]]), 0)</f>
        <v>0</v>
      </c>
      <c r="T190" s="100">
        <f>IF(AND(SamplingData[[#This Row],[Total]]&lt;&gt; 0, NOT(ISBLANK(SamplingData[[#This Row],[Candidate 5]]))),(SamplingData[[#This Row],[Total]]+SamplingData[[#This Row],[Winning Candidate]]-SamplingData[[#This Row],[Candidate 5]])/(SamplingData[[#Totals],[Winning Candidate]]-SamplingData[[#Totals],[Candidate 5]]), 0)</f>
        <v>0</v>
      </c>
      <c r="U190" s="100">
        <f>IF(AND(SamplingData[[#This Row],[Total]]&lt;&gt; 0, NOT(ISBLANK(SamplingData[[#This Row],[Candidate 6]]))),(SamplingData[[#This Row],[Total]]+SamplingData[[#This Row],[Losing Candidate]]-SamplingData[[#This Row],[Candidate 6]])/(SamplingData[[#Totals],[Winning Candidate]]-SamplingData[[#Totals],[Candidate 6]]), 0)</f>
        <v>0</v>
      </c>
      <c r="V190" s="100">
        <f>IF(AND(SamplingData[[#This Row],[Total]]&lt;&gt; 0, NOT(ISBLANK(SamplingData[[#This Row],[Candidate 7]]))),(SamplingData[[#This Row],[Total]]+SamplingData[[#This Row],[Winning Candidate]]-SamplingData[[#This Row],[Candidate 7]])/(SamplingData[[#Totals],[Winning Candidate]]-SamplingData[[#Totals],[Candidate 7]]), 0)</f>
        <v>0</v>
      </c>
      <c r="W190" s="100">
        <f>IF(AND(SamplingData[[#This Row],[Total]]&lt;&gt; 0, NOT(ISBLANK(SamplingData[[#This Row],[Candidate 8]]))),(SamplingData[[#This Row],[Total]]+SamplingData[[#This Row],[Winning Candidate]]-SamplingData[[#This Row],[Candidate 8]])/(SamplingData[[#Totals],[Winning Candidate]]-SamplingData[[#Totals],[Candidate 8]]), 0)</f>
        <v>0</v>
      </c>
      <c r="X1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0" s="100">
        <f>MAX(SamplingData[[#This Row],[Error Bound (up) - Max. possible relative overstatement - Losing Candidate]:[Error Bound (up) - Max. possible relative overstatement - Candidate 12]])</f>
        <v>1.4111537593136149E-3</v>
      </c>
      <c r="AC190" s="100">
        <f>IF(SamplingData[[#This Row],[Max Error Bound (up)]] = 0,0,SamplingData[[#This Row],[Max Error Bound (up)]]/SamplingData[[#Totals],[Max Error Bound (up)]])</f>
        <v>5.7272458603484342E-4</v>
      </c>
      <c r="AD190" s="104">
        <f>SUM($AC$5:AC190)</f>
        <v>0.16852778277011804</v>
      </c>
      <c r="AE190" s="100" t="str" cm="1">
        <f t="array" ref="AE190">IF(SamplingData[[#This Row],[up/U Selection Probability]] = 0, "Zero", TEXT(SamplingData[[#This Row],[Lower Range]], REPT("0",LEN('General Info'!$B$42))) &amp; " - " &amp; TEXT(SamplingData[[#This Row],[Upper Range]], REPT("0",LEN('General Info'!$B$42))))</f>
        <v>16796 - 16852</v>
      </c>
      <c r="AF190" s="100">
        <f>SamplingData[[#This Row],[Upper Range]]-SamplingData[[#This Row],[Span]]</f>
        <v>16795.505818408317</v>
      </c>
      <c r="AG190" s="100">
        <f>IF(ISNUMBER('General Info'!$B$42), ((SamplingData[[#This Row],[up/U Selection Probability]]) * 'General Info'!$B$44) - 1, 0)</f>
        <v>56.272458603484338</v>
      </c>
      <c r="AH190" s="100">
        <f>IF(ISNUMBER('General Info'!$B$42), (SamplingData[[#This Row],[Running (cumulative) sum]] * ('General Info'!$B$42 -'General Info'!$B$43 + 1)) + 'General Info'!$B$43 - 1, 0)</f>
        <v>16851.778277011803</v>
      </c>
      <c r="AI190" s="100" t="str">
        <f>IF(ISERROR(MATCH(SamplingData[[#This Row],[Batch by Type (p)]],SelectedPrecincts[Batch Name], 0)), "", INDEX(SelectedPrecincts[Draw], MATCH(SamplingData[[#This Row],[Batch by Type (p)]],SelectedPrecincts[Batch Name], 0)))</f>
        <v/>
      </c>
      <c r="AJ190" s="101">
        <f>IF(COUNTIF(SelectedPrecincts[Batch Name],SamplingData[[#This Row],[Batch by Type (p)]]) &lt;&gt; 0, COUNTIF(SelectedPrecincts[Batch Name],SamplingData[[#This Row],[Batch by Type (p)]]), 0)</f>
        <v>0</v>
      </c>
    </row>
    <row r="191" spans="1:36" ht="15" customHeight="1" x14ac:dyDescent="0.35">
      <c r="A191" s="98" t="s">
        <v>402</v>
      </c>
      <c r="B191" s="98">
        <v>21</v>
      </c>
      <c r="C191" s="98">
        <v>7</v>
      </c>
      <c r="D191" s="93">
        <v>0</v>
      </c>
      <c r="E191" s="93"/>
      <c r="F191" s="93"/>
      <c r="G191" s="97"/>
      <c r="H191" s="97"/>
      <c r="I191" s="93"/>
      <c r="J191" s="93"/>
      <c r="K191" s="93"/>
      <c r="L191" s="93"/>
      <c r="M191" s="93"/>
      <c r="N191" s="98">
        <v>0</v>
      </c>
      <c r="O191" s="98">
        <v>0</v>
      </c>
      <c r="P191" s="99">
        <f>SUM(SamplingData[[#This Row],[Winning Candidate]:[Under Votes]])</f>
        <v>28</v>
      </c>
      <c r="Q191" s="100">
        <f>IF(AND(SamplingData[[#This Row],[Total]]&lt;&gt; 0, NOT(ISBLANK(SamplingData[[#This Row],[Losing Candidate]]))),(SamplingData[[#This Row],[Total]]+SamplingData[[#This Row],[Winning Candidate]]-SamplingData[[#This Row],[Losing Candidate]])/(SamplingData[[#Totals],[Winning Candidate]]-SamplingData[[#Totals],[Losing Candidate]]), 0)</f>
        <v>2.654699450097971E-3</v>
      </c>
      <c r="R191" s="100">
        <f>IF(AND(SamplingData[[#This Row],[Total]]&lt;&gt; 0, NOT(ISBLANK(SamplingData[[#This Row],[Candidate 3]]))),(SamplingData[[#This Row],[Total]]+SamplingData[[#This Row],[Winning Candidate]]-SamplingData[[#This Row],[Candidate 3]])/(SamplingData[[#Totals],[Winning Candidate]]-SamplingData[[#Totals],[Candidate 3]]), 0)</f>
        <v>2.7658613682546851E-3</v>
      </c>
      <c r="S191" s="100">
        <f>IF(AND(SamplingData[[#This Row],[Total]]&lt;&gt; 0, NOT(ISBLANK(SamplingData[[#This Row],[Candidate 4]]))),(SamplingData[[#This Row],[Total]]+SamplingData[[#This Row],[Winning Candidate]]-SamplingData[[#This Row],[Candidate 4]])/(SamplingData[[#Totals],[Winning Candidate]]-SamplingData[[#Totals],[Candidate 4]]), 0)</f>
        <v>0</v>
      </c>
      <c r="T191" s="100">
        <f>IF(AND(SamplingData[[#This Row],[Total]]&lt;&gt; 0, NOT(ISBLANK(SamplingData[[#This Row],[Candidate 5]]))),(SamplingData[[#This Row],[Total]]+SamplingData[[#This Row],[Winning Candidate]]-SamplingData[[#This Row],[Candidate 5]])/(SamplingData[[#Totals],[Winning Candidate]]-SamplingData[[#Totals],[Candidate 5]]), 0)</f>
        <v>0</v>
      </c>
      <c r="U191" s="100">
        <f>IF(AND(SamplingData[[#This Row],[Total]]&lt;&gt; 0, NOT(ISBLANK(SamplingData[[#This Row],[Candidate 6]]))),(SamplingData[[#This Row],[Total]]+SamplingData[[#This Row],[Losing Candidate]]-SamplingData[[#This Row],[Candidate 6]])/(SamplingData[[#Totals],[Winning Candidate]]-SamplingData[[#Totals],[Candidate 6]]), 0)</f>
        <v>0</v>
      </c>
      <c r="V191" s="100">
        <f>IF(AND(SamplingData[[#This Row],[Total]]&lt;&gt; 0, NOT(ISBLANK(SamplingData[[#This Row],[Candidate 7]]))),(SamplingData[[#This Row],[Total]]+SamplingData[[#This Row],[Winning Candidate]]-SamplingData[[#This Row],[Candidate 7]])/(SamplingData[[#Totals],[Winning Candidate]]-SamplingData[[#Totals],[Candidate 7]]), 0)</f>
        <v>0</v>
      </c>
      <c r="W191" s="100">
        <f>IF(AND(SamplingData[[#This Row],[Total]]&lt;&gt; 0, NOT(ISBLANK(SamplingData[[#This Row],[Candidate 8]]))),(SamplingData[[#This Row],[Total]]+SamplingData[[#This Row],[Winning Candidate]]-SamplingData[[#This Row],[Candidate 8]])/(SamplingData[[#Totals],[Winning Candidate]]-SamplingData[[#Totals],[Candidate 8]]), 0)</f>
        <v>0</v>
      </c>
      <c r="X1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1" s="100">
        <f>MAX(SamplingData[[#This Row],[Error Bound (up) - Max. possible relative overstatement - Losing Candidate]:[Error Bound (up) - Max. possible relative overstatement - Candidate 12]])</f>
        <v>2.7658613682546851E-3</v>
      </c>
      <c r="AC191" s="100">
        <f>IF(SamplingData[[#This Row],[Max Error Bound (up)]] = 0,0,SamplingData[[#This Row],[Max Error Bound (up)]]/SamplingData[[#Totals],[Max Error Bound (up)]])</f>
        <v>1.1225401886282931E-3</v>
      </c>
      <c r="AD191" s="104">
        <f>SUM($AC$5:AC191)</f>
        <v>0.16965032295874632</v>
      </c>
      <c r="AE191" s="100" t="str" cm="1">
        <f t="array" ref="AE191">IF(SamplingData[[#This Row],[up/U Selection Probability]] = 0, "Zero", TEXT(SamplingData[[#This Row],[Lower Range]], REPT("0",LEN('General Info'!$B$42))) &amp; " - " &amp; TEXT(SamplingData[[#This Row],[Upper Range]], REPT("0",LEN('General Info'!$B$42))))</f>
        <v>16853 - 16964</v>
      </c>
      <c r="AF191" s="100">
        <f>SamplingData[[#This Row],[Upper Range]]-SamplingData[[#This Row],[Span]]</f>
        <v>16852.778277011803</v>
      </c>
      <c r="AG191" s="100">
        <f>IF(ISNUMBER('General Info'!$B$42), ((SamplingData[[#This Row],[up/U Selection Probability]]) * 'General Info'!$B$44) - 1, 0)</f>
        <v>111.25401886282931</v>
      </c>
      <c r="AH191" s="100">
        <f>IF(ISNUMBER('General Info'!$B$42), (SamplingData[[#This Row],[Running (cumulative) sum]] * ('General Info'!$B$42 -'General Info'!$B$43 + 1)) + 'General Info'!$B$43 - 1, 0)</f>
        <v>16964.032295874633</v>
      </c>
      <c r="AI191" s="100" t="str">
        <f>IF(ISERROR(MATCH(SamplingData[[#This Row],[Batch by Type (p)]],SelectedPrecincts[Batch Name], 0)), "", INDEX(SelectedPrecincts[Draw], MATCH(SamplingData[[#This Row],[Batch by Type (p)]],SelectedPrecincts[Batch Name], 0)))</f>
        <v/>
      </c>
      <c r="AJ191" s="101">
        <f>IF(COUNTIF(SelectedPrecincts[Batch Name],SamplingData[[#This Row],[Batch by Type (p)]]) &lt;&gt; 0, COUNTIF(SelectedPrecincts[Batch Name],SamplingData[[#This Row],[Batch by Type (p)]]), 0)</f>
        <v>0</v>
      </c>
    </row>
    <row r="192" spans="1:36" ht="15" customHeight="1" x14ac:dyDescent="0.35">
      <c r="A192" s="98" t="s">
        <v>403</v>
      </c>
      <c r="B192" s="98">
        <v>8</v>
      </c>
      <c r="C192" s="98">
        <v>0</v>
      </c>
      <c r="D192" s="93">
        <v>1</v>
      </c>
      <c r="E192" s="93"/>
      <c r="F192" s="93"/>
      <c r="G192" s="97"/>
      <c r="H192" s="97"/>
      <c r="I192" s="93"/>
      <c r="J192" s="93"/>
      <c r="K192" s="93"/>
      <c r="L192" s="93"/>
      <c r="M192" s="93"/>
      <c r="N192" s="98">
        <v>0</v>
      </c>
      <c r="O192" s="98">
        <v>0</v>
      </c>
      <c r="P192" s="99">
        <f>SUM(SamplingData[[#This Row],[Winning Candidate]:[Under Votes]])</f>
        <v>9</v>
      </c>
      <c r="Q192" s="100">
        <f>IF(AND(SamplingData[[#This Row],[Total]]&lt;&gt; 0, NOT(ISBLANK(SamplingData[[#This Row],[Losing Candidate]]))),(SamplingData[[#This Row],[Total]]+SamplingData[[#This Row],[Winning Candidate]]-SamplingData[[#This Row],[Losing Candidate]])/(SamplingData[[#Totals],[Winning Candidate]]-SamplingData[[#Totals],[Losing Candidate]]), 0)</f>
        <v>1.0745212059920359E-3</v>
      </c>
      <c r="R192" s="100">
        <f>IF(AND(SamplingData[[#This Row],[Total]]&lt;&gt; 0, NOT(ISBLANK(SamplingData[[#This Row],[Candidate 3]]))),(SamplingData[[#This Row],[Total]]+SamplingData[[#This Row],[Winning Candidate]]-SamplingData[[#This Row],[Candidate 3]])/(SamplingData[[#Totals],[Winning Candidate]]-SamplingData[[#Totals],[Candidate 3]]), 0)</f>
        <v>9.0313840596071345E-4</v>
      </c>
      <c r="S192" s="100">
        <f>IF(AND(SamplingData[[#This Row],[Total]]&lt;&gt; 0, NOT(ISBLANK(SamplingData[[#This Row],[Candidate 4]]))),(SamplingData[[#This Row],[Total]]+SamplingData[[#This Row],[Winning Candidate]]-SamplingData[[#This Row],[Candidate 4]])/(SamplingData[[#Totals],[Winning Candidate]]-SamplingData[[#Totals],[Candidate 4]]), 0)</f>
        <v>0</v>
      </c>
      <c r="T192" s="100">
        <f>IF(AND(SamplingData[[#This Row],[Total]]&lt;&gt; 0, NOT(ISBLANK(SamplingData[[#This Row],[Candidate 5]]))),(SamplingData[[#This Row],[Total]]+SamplingData[[#This Row],[Winning Candidate]]-SamplingData[[#This Row],[Candidate 5]])/(SamplingData[[#Totals],[Winning Candidate]]-SamplingData[[#Totals],[Candidate 5]]), 0)</f>
        <v>0</v>
      </c>
      <c r="U192" s="100">
        <f>IF(AND(SamplingData[[#This Row],[Total]]&lt;&gt; 0, NOT(ISBLANK(SamplingData[[#This Row],[Candidate 6]]))),(SamplingData[[#This Row],[Total]]+SamplingData[[#This Row],[Losing Candidate]]-SamplingData[[#This Row],[Candidate 6]])/(SamplingData[[#Totals],[Winning Candidate]]-SamplingData[[#Totals],[Candidate 6]]), 0)</f>
        <v>0</v>
      </c>
      <c r="V192" s="100">
        <f>IF(AND(SamplingData[[#This Row],[Total]]&lt;&gt; 0, NOT(ISBLANK(SamplingData[[#This Row],[Candidate 7]]))),(SamplingData[[#This Row],[Total]]+SamplingData[[#This Row],[Winning Candidate]]-SamplingData[[#This Row],[Candidate 7]])/(SamplingData[[#Totals],[Winning Candidate]]-SamplingData[[#Totals],[Candidate 7]]), 0)</f>
        <v>0</v>
      </c>
      <c r="W192" s="100">
        <f>IF(AND(SamplingData[[#This Row],[Total]]&lt;&gt; 0, NOT(ISBLANK(SamplingData[[#This Row],[Candidate 8]]))),(SamplingData[[#This Row],[Total]]+SamplingData[[#This Row],[Winning Candidate]]-SamplingData[[#This Row],[Candidate 8]])/(SamplingData[[#Totals],[Winning Candidate]]-SamplingData[[#Totals],[Candidate 8]]), 0)</f>
        <v>0</v>
      </c>
      <c r="X1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2" s="100">
        <f>MAX(SamplingData[[#This Row],[Error Bound (up) - Max. possible relative overstatement - Losing Candidate]:[Error Bound (up) - Max. possible relative overstatement - Candidate 12]])</f>
        <v>1.0745212059920359E-3</v>
      </c>
      <c r="AC192" s="100">
        <f>IF(SamplingData[[#This Row],[Max Error Bound (up)]] = 0,0,SamplingData[[#This Row],[Max Error Bound (up)]]/SamplingData[[#Totals],[Max Error Bound (up)]])</f>
        <v>4.361003957405622E-4</v>
      </c>
      <c r="AD192" s="104">
        <f>SUM($AC$5:AC192)</f>
        <v>0.1700864233544869</v>
      </c>
      <c r="AE192" s="100" t="str" cm="1">
        <f t="array" ref="AE192">IF(SamplingData[[#This Row],[up/U Selection Probability]] = 0, "Zero", TEXT(SamplingData[[#This Row],[Lower Range]], REPT("0",LEN('General Info'!$B$42))) &amp; " - " &amp; TEXT(SamplingData[[#This Row],[Upper Range]], REPT("0",LEN('General Info'!$B$42))))</f>
        <v>16965 - 17008</v>
      </c>
      <c r="AF192" s="100">
        <f>SamplingData[[#This Row],[Upper Range]]-SamplingData[[#This Row],[Span]]</f>
        <v>16965.032295874633</v>
      </c>
      <c r="AG192" s="100">
        <f>IF(ISNUMBER('General Info'!$B$42), ((SamplingData[[#This Row],[up/U Selection Probability]]) * 'General Info'!$B$44) - 1, 0)</f>
        <v>42.610039574056223</v>
      </c>
      <c r="AH192" s="100">
        <f>IF(ISNUMBER('General Info'!$B$42), (SamplingData[[#This Row],[Running (cumulative) sum]] * ('General Info'!$B$42 -'General Info'!$B$43 + 1)) + 'General Info'!$B$43 - 1, 0)</f>
        <v>17007.642335448691</v>
      </c>
      <c r="AI192" s="100" t="str">
        <f>IF(ISERROR(MATCH(SamplingData[[#This Row],[Batch by Type (p)]],SelectedPrecincts[Batch Name], 0)), "", INDEX(SelectedPrecincts[Draw], MATCH(SamplingData[[#This Row],[Batch by Type (p)]],SelectedPrecincts[Batch Name], 0)))</f>
        <v/>
      </c>
      <c r="AJ192" s="101">
        <f>IF(COUNTIF(SelectedPrecincts[Batch Name],SamplingData[[#This Row],[Batch by Type (p)]]) &lt;&gt; 0, COUNTIF(SelectedPrecincts[Batch Name],SamplingData[[#This Row],[Batch by Type (p)]]), 0)</f>
        <v>0</v>
      </c>
    </row>
    <row r="193" spans="1:36" ht="15" customHeight="1" x14ac:dyDescent="0.35">
      <c r="A193" s="98" t="s">
        <v>404</v>
      </c>
      <c r="B193" s="98">
        <v>12</v>
      </c>
      <c r="C193" s="98">
        <v>2</v>
      </c>
      <c r="D193" s="93">
        <v>0</v>
      </c>
      <c r="E193" s="93"/>
      <c r="F193" s="93"/>
      <c r="G193" s="97"/>
      <c r="H193" s="97"/>
      <c r="I193" s="93"/>
      <c r="J193" s="93"/>
      <c r="K193" s="93"/>
      <c r="L193" s="93"/>
      <c r="M193" s="93"/>
      <c r="N193" s="98">
        <v>0</v>
      </c>
      <c r="O193" s="98">
        <v>0</v>
      </c>
      <c r="P193" s="99">
        <f>SUM(SamplingData[[#This Row],[Winning Candidate]:[Under Votes]])</f>
        <v>14</v>
      </c>
      <c r="Q193" s="100">
        <f>IF(AND(SamplingData[[#This Row],[Total]]&lt;&gt; 0, NOT(ISBLANK(SamplingData[[#This Row],[Losing Candidate]]))),(SamplingData[[#This Row],[Total]]+SamplingData[[#This Row],[Winning Candidate]]-SamplingData[[#This Row],[Losing Candidate]])/(SamplingData[[#Totals],[Winning Candidate]]-SamplingData[[#Totals],[Losing Candidate]]), 0)</f>
        <v>1.5169711143416978E-3</v>
      </c>
      <c r="R193" s="100">
        <f>IF(AND(SamplingData[[#This Row],[Total]]&lt;&gt; 0, NOT(ISBLANK(SamplingData[[#This Row],[Candidate 3]]))),(SamplingData[[#This Row],[Total]]+SamplingData[[#This Row],[Winning Candidate]]-SamplingData[[#This Row],[Candidate 3]])/(SamplingData[[#Totals],[Winning Candidate]]-SamplingData[[#Totals],[Candidate 3]]), 0)</f>
        <v>1.4675999096861595E-3</v>
      </c>
      <c r="S193" s="100">
        <f>IF(AND(SamplingData[[#This Row],[Total]]&lt;&gt; 0, NOT(ISBLANK(SamplingData[[#This Row],[Candidate 4]]))),(SamplingData[[#This Row],[Total]]+SamplingData[[#This Row],[Winning Candidate]]-SamplingData[[#This Row],[Candidate 4]])/(SamplingData[[#Totals],[Winning Candidate]]-SamplingData[[#Totals],[Candidate 4]]), 0)</f>
        <v>0</v>
      </c>
      <c r="T193" s="100">
        <f>IF(AND(SamplingData[[#This Row],[Total]]&lt;&gt; 0, NOT(ISBLANK(SamplingData[[#This Row],[Candidate 5]]))),(SamplingData[[#This Row],[Total]]+SamplingData[[#This Row],[Winning Candidate]]-SamplingData[[#This Row],[Candidate 5]])/(SamplingData[[#Totals],[Winning Candidate]]-SamplingData[[#Totals],[Candidate 5]]), 0)</f>
        <v>0</v>
      </c>
      <c r="U193" s="100">
        <f>IF(AND(SamplingData[[#This Row],[Total]]&lt;&gt; 0, NOT(ISBLANK(SamplingData[[#This Row],[Candidate 6]]))),(SamplingData[[#This Row],[Total]]+SamplingData[[#This Row],[Losing Candidate]]-SamplingData[[#This Row],[Candidate 6]])/(SamplingData[[#Totals],[Winning Candidate]]-SamplingData[[#Totals],[Candidate 6]]), 0)</f>
        <v>0</v>
      </c>
      <c r="V193" s="100">
        <f>IF(AND(SamplingData[[#This Row],[Total]]&lt;&gt; 0, NOT(ISBLANK(SamplingData[[#This Row],[Candidate 7]]))),(SamplingData[[#This Row],[Total]]+SamplingData[[#This Row],[Winning Candidate]]-SamplingData[[#This Row],[Candidate 7]])/(SamplingData[[#Totals],[Winning Candidate]]-SamplingData[[#Totals],[Candidate 7]]), 0)</f>
        <v>0</v>
      </c>
      <c r="W193" s="100">
        <f>IF(AND(SamplingData[[#This Row],[Total]]&lt;&gt; 0, NOT(ISBLANK(SamplingData[[#This Row],[Candidate 8]]))),(SamplingData[[#This Row],[Total]]+SamplingData[[#This Row],[Winning Candidate]]-SamplingData[[#This Row],[Candidate 8]])/(SamplingData[[#Totals],[Winning Candidate]]-SamplingData[[#Totals],[Candidate 8]]), 0)</f>
        <v>0</v>
      </c>
      <c r="X1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3" s="100">
        <f>MAX(SamplingData[[#This Row],[Error Bound (up) - Max. possible relative overstatement - Losing Candidate]:[Error Bound (up) - Max. possible relative overstatement - Candidate 12]])</f>
        <v>1.5169711143416978E-3</v>
      </c>
      <c r="AC193" s="100">
        <f>IF(SamplingData[[#This Row],[Max Error Bound (up)]] = 0,0,SamplingData[[#This Row],[Max Error Bound (up)]]/SamplingData[[#Totals],[Max Error Bound (up)]])</f>
        <v>6.1567114692785252E-4</v>
      </c>
      <c r="AD193" s="104">
        <f>SUM($AC$5:AC193)</f>
        <v>0.17070209450141474</v>
      </c>
      <c r="AE193" s="100" t="str" cm="1">
        <f t="array" ref="AE193">IF(SamplingData[[#This Row],[up/U Selection Probability]] = 0, "Zero", TEXT(SamplingData[[#This Row],[Lower Range]], REPT("0",LEN('General Info'!$B$42))) &amp; " - " &amp; TEXT(SamplingData[[#This Row],[Upper Range]], REPT("0",LEN('General Info'!$B$42))))</f>
        <v>17009 - 17069</v>
      </c>
      <c r="AF193" s="100">
        <f>SamplingData[[#This Row],[Upper Range]]-SamplingData[[#This Row],[Span]]</f>
        <v>17008.642335448691</v>
      </c>
      <c r="AG193" s="100">
        <f>IF(ISNUMBER('General Info'!$B$42), ((SamplingData[[#This Row],[up/U Selection Probability]]) * 'General Info'!$B$44) - 1, 0)</f>
        <v>60.567114692785253</v>
      </c>
      <c r="AH193" s="100">
        <f>IF(ISNUMBER('General Info'!$B$42), (SamplingData[[#This Row],[Running (cumulative) sum]] * ('General Info'!$B$42 -'General Info'!$B$43 + 1)) + 'General Info'!$B$43 - 1, 0)</f>
        <v>17069.209450141476</v>
      </c>
      <c r="AI193" s="100" t="str">
        <f>IF(ISERROR(MATCH(SamplingData[[#This Row],[Batch by Type (p)]],SelectedPrecincts[Batch Name], 0)), "", INDEX(SelectedPrecincts[Draw], MATCH(SamplingData[[#This Row],[Batch by Type (p)]],SelectedPrecincts[Batch Name], 0)))</f>
        <v/>
      </c>
      <c r="AJ193" s="101">
        <f>IF(COUNTIF(SelectedPrecincts[Batch Name],SamplingData[[#This Row],[Batch by Type (p)]]) &lt;&gt; 0, COUNTIF(SelectedPrecincts[Batch Name],SamplingData[[#This Row],[Batch by Type (p)]]), 0)</f>
        <v>0</v>
      </c>
    </row>
    <row r="194" spans="1:36" ht="15" customHeight="1" x14ac:dyDescent="0.35">
      <c r="A194" s="98" t="s">
        <v>405</v>
      </c>
      <c r="B194" s="98">
        <v>9</v>
      </c>
      <c r="C194" s="98">
        <v>3</v>
      </c>
      <c r="D194" s="93">
        <v>0</v>
      </c>
      <c r="E194" s="93"/>
      <c r="F194" s="93"/>
      <c r="G194" s="97"/>
      <c r="H194" s="97"/>
      <c r="I194" s="93"/>
      <c r="J194" s="93"/>
      <c r="K194" s="93"/>
      <c r="L194" s="93"/>
      <c r="M194" s="93"/>
      <c r="N194" s="98">
        <v>0</v>
      </c>
      <c r="O194" s="98">
        <v>0</v>
      </c>
      <c r="P194" s="99">
        <f>SUM(SamplingData[[#This Row],[Winning Candidate]:[Under Votes]])</f>
        <v>12</v>
      </c>
      <c r="Q194" s="100">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194" s="100">
        <f>IF(AND(SamplingData[[#This Row],[Total]]&lt;&gt; 0, NOT(ISBLANK(SamplingData[[#This Row],[Candidate 3]]))),(SamplingData[[#This Row],[Total]]+SamplingData[[#This Row],[Winning Candidate]]-SamplingData[[#This Row],[Candidate 3]])/(SamplingData[[#Totals],[Winning Candidate]]-SamplingData[[#Totals],[Candidate 3]]), 0)</f>
        <v>1.1853691578234365E-3</v>
      </c>
      <c r="S194" s="100">
        <f>IF(AND(SamplingData[[#This Row],[Total]]&lt;&gt; 0, NOT(ISBLANK(SamplingData[[#This Row],[Candidate 4]]))),(SamplingData[[#This Row],[Total]]+SamplingData[[#This Row],[Winning Candidate]]-SamplingData[[#This Row],[Candidate 4]])/(SamplingData[[#Totals],[Winning Candidate]]-SamplingData[[#Totals],[Candidate 4]]), 0)</f>
        <v>0</v>
      </c>
      <c r="T194" s="100">
        <f>IF(AND(SamplingData[[#This Row],[Total]]&lt;&gt; 0, NOT(ISBLANK(SamplingData[[#This Row],[Candidate 5]]))),(SamplingData[[#This Row],[Total]]+SamplingData[[#This Row],[Winning Candidate]]-SamplingData[[#This Row],[Candidate 5]])/(SamplingData[[#Totals],[Winning Candidate]]-SamplingData[[#Totals],[Candidate 5]]), 0)</f>
        <v>0</v>
      </c>
      <c r="U194" s="100">
        <f>IF(AND(SamplingData[[#This Row],[Total]]&lt;&gt; 0, NOT(ISBLANK(SamplingData[[#This Row],[Candidate 6]]))),(SamplingData[[#This Row],[Total]]+SamplingData[[#This Row],[Losing Candidate]]-SamplingData[[#This Row],[Candidate 6]])/(SamplingData[[#Totals],[Winning Candidate]]-SamplingData[[#Totals],[Candidate 6]]), 0)</f>
        <v>0</v>
      </c>
      <c r="V194" s="100">
        <f>IF(AND(SamplingData[[#This Row],[Total]]&lt;&gt; 0, NOT(ISBLANK(SamplingData[[#This Row],[Candidate 7]]))),(SamplingData[[#This Row],[Total]]+SamplingData[[#This Row],[Winning Candidate]]-SamplingData[[#This Row],[Candidate 7]])/(SamplingData[[#Totals],[Winning Candidate]]-SamplingData[[#Totals],[Candidate 7]]), 0)</f>
        <v>0</v>
      </c>
      <c r="W194" s="100">
        <f>IF(AND(SamplingData[[#This Row],[Total]]&lt;&gt; 0, NOT(ISBLANK(SamplingData[[#This Row],[Candidate 8]]))),(SamplingData[[#This Row],[Total]]+SamplingData[[#This Row],[Winning Candidate]]-SamplingData[[#This Row],[Candidate 8]])/(SamplingData[[#Totals],[Winning Candidate]]-SamplingData[[#Totals],[Candidate 8]]), 0)</f>
        <v>0</v>
      </c>
      <c r="X1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4" s="100">
        <f>MAX(SamplingData[[#This Row],[Error Bound (up) - Max. possible relative overstatement - Losing Candidate]:[Error Bound (up) - Max. possible relative overstatement - Candidate 12]])</f>
        <v>1.1853691578234365E-3</v>
      </c>
      <c r="AC194" s="100">
        <f>IF(SamplingData[[#This Row],[Max Error Bound (up)]] = 0,0,SamplingData[[#This Row],[Max Error Bound (up)]]/SamplingData[[#Totals],[Max Error Bound (up)]])</f>
        <v>4.810886522692685E-4</v>
      </c>
      <c r="AD194" s="104">
        <f>SUM($AC$5:AC194)</f>
        <v>0.171183183153684</v>
      </c>
      <c r="AE194" s="100" t="str" cm="1">
        <f t="array" ref="AE194">IF(SamplingData[[#This Row],[up/U Selection Probability]] = 0, "Zero", TEXT(SamplingData[[#This Row],[Lower Range]], REPT("0",LEN('General Info'!$B$42))) &amp; " - " &amp; TEXT(SamplingData[[#This Row],[Upper Range]], REPT("0",LEN('General Info'!$B$42))))</f>
        <v>17070 - 17117</v>
      </c>
      <c r="AF194" s="100">
        <f>SamplingData[[#This Row],[Upper Range]]-SamplingData[[#This Row],[Span]]</f>
        <v>17070.209450141472</v>
      </c>
      <c r="AG194" s="100">
        <f>IF(ISNUMBER('General Info'!$B$42), ((SamplingData[[#This Row],[up/U Selection Probability]]) * 'General Info'!$B$44) - 1, 0)</f>
        <v>47.108865226926852</v>
      </c>
      <c r="AH194" s="100">
        <f>IF(ISNUMBER('General Info'!$B$42), (SamplingData[[#This Row],[Running (cumulative) sum]] * ('General Info'!$B$42 -'General Info'!$B$43 + 1)) + 'General Info'!$B$43 - 1, 0)</f>
        <v>17117.3183153684</v>
      </c>
      <c r="AI194" s="100" t="str">
        <f>IF(ISERROR(MATCH(SamplingData[[#This Row],[Batch by Type (p)]],SelectedPrecincts[Batch Name], 0)), "", INDEX(SelectedPrecincts[Draw], MATCH(SamplingData[[#This Row],[Batch by Type (p)]],SelectedPrecincts[Batch Name], 0)))</f>
        <v/>
      </c>
      <c r="AJ194" s="101">
        <f>IF(COUNTIF(SelectedPrecincts[Batch Name],SamplingData[[#This Row],[Batch by Type (p)]]) &lt;&gt; 0, COUNTIF(SelectedPrecincts[Batch Name],SamplingData[[#This Row],[Batch by Type (p)]]), 0)</f>
        <v>0</v>
      </c>
    </row>
    <row r="195" spans="1:36" ht="15" customHeight="1" x14ac:dyDescent="0.35">
      <c r="A195" s="98" t="s">
        <v>406</v>
      </c>
      <c r="B195" s="98">
        <v>13</v>
      </c>
      <c r="C195" s="98">
        <v>15</v>
      </c>
      <c r="D195" s="93">
        <v>6</v>
      </c>
      <c r="E195" s="93"/>
      <c r="F195" s="93"/>
      <c r="G195" s="97"/>
      <c r="H195" s="97"/>
      <c r="I195" s="93"/>
      <c r="J195" s="93"/>
      <c r="K195" s="93"/>
      <c r="L195" s="93"/>
      <c r="M195" s="93"/>
      <c r="N195" s="98">
        <v>0</v>
      </c>
      <c r="O195" s="98">
        <v>2</v>
      </c>
      <c r="P195" s="99">
        <f>SUM(SamplingData[[#This Row],[Winning Candidate]:[Under Votes]])</f>
        <v>36</v>
      </c>
      <c r="Q195" s="100">
        <f>IF(AND(SamplingData[[#This Row],[Total]]&lt;&gt; 0, NOT(ISBLANK(SamplingData[[#This Row],[Losing Candidate]]))),(SamplingData[[#This Row],[Total]]+SamplingData[[#This Row],[Winning Candidate]]-SamplingData[[#This Row],[Losing Candidate]])/(SamplingData[[#Totals],[Winning Candidate]]-SamplingData[[#Totals],[Losing Candidate]]), 0)</f>
        <v>2.1490424119840717E-3</v>
      </c>
      <c r="R195" s="100">
        <f>IF(AND(SamplingData[[#This Row],[Total]]&lt;&gt; 0, NOT(ISBLANK(SamplingData[[#This Row],[Candidate 3]]))),(SamplingData[[#This Row],[Total]]+SamplingData[[#This Row],[Winning Candidate]]-SamplingData[[#This Row],[Candidate 3]])/(SamplingData[[#Totals],[Winning Candidate]]-SamplingData[[#Totals],[Candidate 3]]), 0)</f>
        <v>2.4271844660194173E-3</v>
      </c>
      <c r="S195" s="100">
        <f>IF(AND(SamplingData[[#This Row],[Total]]&lt;&gt; 0, NOT(ISBLANK(SamplingData[[#This Row],[Candidate 4]]))),(SamplingData[[#This Row],[Total]]+SamplingData[[#This Row],[Winning Candidate]]-SamplingData[[#This Row],[Candidate 4]])/(SamplingData[[#Totals],[Winning Candidate]]-SamplingData[[#Totals],[Candidate 4]]), 0)</f>
        <v>0</v>
      </c>
      <c r="T195" s="100">
        <f>IF(AND(SamplingData[[#This Row],[Total]]&lt;&gt; 0, NOT(ISBLANK(SamplingData[[#This Row],[Candidate 5]]))),(SamplingData[[#This Row],[Total]]+SamplingData[[#This Row],[Winning Candidate]]-SamplingData[[#This Row],[Candidate 5]])/(SamplingData[[#Totals],[Winning Candidate]]-SamplingData[[#Totals],[Candidate 5]]), 0)</f>
        <v>0</v>
      </c>
      <c r="U195" s="100">
        <f>IF(AND(SamplingData[[#This Row],[Total]]&lt;&gt; 0, NOT(ISBLANK(SamplingData[[#This Row],[Candidate 6]]))),(SamplingData[[#This Row],[Total]]+SamplingData[[#This Row],[Losing Candidate]]-SamplingData[[#This Row],[Candidate 6]])/(SamplingData[[#Totals],[Winning Candidate]]-SamplingData[[#Totals],[Candidate 6]]), 0)</f>
        <v>0</v>
      </c>
      <c r="V195" s="100">
        <f>IF(AND(SamplingData[[#This Row],[Total]]&lt;&gt; 0, NOT(ISBLANK(SamplingData[[#This Row],[Candidate 7]]))),(SamplingData[[#This Row],[Total]]+SamplingData[[#This Row],[Winning Candidate]]-SamplingData[[#This Row],[Candidate 7]])/(SamplingData[[#Totals],[Winning Candidate]]-SamplingData[[#Totals],[Candidate 7]]), 0)</f>
        <v>0</v>
      </c>
      <c r="W195" s="100">
        <f>IF(AND(SamplingData[[#This Row],[Total]]&lt;&gt; 0, NOT(ISBLANK(SamplingData[[#This Row],[Candidate 8]]))),(SamplingData[[#This Row],[Total]]+SamplingData[[#This Row],[Winning Candidate]]-SamplingData[[#This Row],[Candidate 8]])/(SamplingData[[#Totals],[Winning Candidate]]-SamplingData[[#Totals],[Candidate 8]]), 0)</f>
        <v>0</v>
      </c>
      <c r="X1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5" s="100">
        <f>MAX(SamplingData[[#This Row],[Error Bound (up) - Max. possible relative overstatement - Losing Candidate]:[Error Bound (up) - Max. possible relative overstatement - Candidate 12]])</f>
        <v>2.4271844660194173E-3</v>
      </c>
      <c r="AC195" s="100">
        <f>IF(SamplingData[[#This Row],[Max Error Bound (up)]] = 0,0,SamplingData[[#This Row],[Max Error Bound (up)]]/SamplingData[[#Totals],[Max Error Bound (up)]])</f>
        <v>9.8508628797993074E-4</v>
      </c>
      <c r="AD195" s="104">
        <f>SUM($AC$5:AC195)</f>
        <v>0.17216826944166394</v>
      </c>
      <c r="AE195" s="100" t="str" cm="1">
        <f t="array" ref="AE195">IF(SamplingData[[#This Row],[up/U Selection Probability]] = 0, "Zero", TEXT(SamplingData[[#This Row],[Lower Range]], REPT("0",LEN('General Info'!$B$42))) &amp; " - " &amp; TEXT(SamplingData[[#This Row],[Upper Range]], REPT("0",LEN('General Info'!$B$42))))</f>
        <v>17118 - 17216</v>
      </c>
      <c r="AF195" s="100">
        <f>SamplingData[[#This Row],[Upper Range]]-SamplingData[[#This Row],[Span]]</f>
        <v>17118.3183153684</v>
      </c>
      <c r="AG195" s="100">
        <f>IF(ISNUMBER('General Info'!$B$42), ((SamplingData[[#This Row],[up/U Selection Probability]]) * 'General Info'!$B$44) - 1, 0)</f>
        <v>97.508628797993069</v>
      </c>
      <c r="AH195" s="100">
        <f>IF(ISNUMBER('General Info'!$B$42), (SamplingData[[#This Row],[Running (cumulative) sum]] * ('General Info'!$B$42 -'General Info'!$B$43 + 1)) + 'General Info'!$B$43 - 1, 0)</f>
        <v>17215.826944166394</v>
      </c>
      <c r="AI195" s="100" t="str">
        <f>IF(ISERROR(MATCH(SamplingData[[#This Row],[Batch by Type (p)]],SelectedPrecincts[Batch Name], 0)), "", INDEX(SelectedPrecincts[Draw], MATCH(SamplingData[[#This Row],[Batch by Type (p)]],SelectedPrecincts[Batch Name], 0)))</f>
        <v/>
      </c>
      <c r="AJ195" s="101">
        <f>IF(COUNTIF(SelectedPrecincts[Batch Name],SamplingData[[#This Row],[Batch by Type (p)]]) &lt;&gt; 0, COUNTIF(SelectedPrecincts[Batch Name],SamplingData[[#This Row],[Batch by Type (p)]]), 0)</f>
        <v>0</v>
      </c>
    </row>
    <row r="196" spans="1:36" ht="15" customHeight="1" x14ac:dyDescent="0.35">
      <c r="A196" s="98" t="s">
        <v>407</v>
      </c>
      <c r="B196" s="98">
        <v>186</v>
      </c>
      <c r="C196" s="98">
        <v>42</v>
      </c>
      <c r="D196" s="93">
        <v>18</v>
      </c>
      <c r="E196" s="93"/>
      <c r="F196" s="93"/>
      <c r="G196" s="97"/>
      <c r="H196" s="97"/>
      <c r="I196" s="93"/>
      <c r="J196" s="93"/>
      <c r="K196" s="93"/>
      <c r="L196" s="93"/>
      <c r="M196" s="93"/>
      <c r="N196" s="98">
        <v>0</v>
      </c>
      <c r="O196" s="98">
        <v>2</v>
      </c>
      <c r="P196" s="99">
        <f>SUM(SamplingData[[#This Row],[Winning Candidate]:[Under Votes]])</f>
        <v>248</v>
      </c>
      <c r="Q196" s="100">
        <f>IF(AND(SamplingData[[#This Row],[Total]]&lt;&gt; 0, NOT(ISBLANK(SamplingData[[#This Row],[Losing Candidate]]))),(SamplingData[[#This Row],[Total]]+SamplingData[[#This Row],[Winning Candidate]]-SamplingData[[#This Row],[Losing Candidate]])/(SamplingData[[#Totals],[Winning Candidate]]-SamplingData[[#Totals],[Losing Candidate]]), 0)</f>
        <v>2.4777194867581061E-2</v>
      </c>
      <c r="R196" s="100">
        <f>IF(AND(SamplingData[[#This Row],[Total]]&lt;&gt; 0, NOT(ISBLANK(SamplingData[[#This Row],[Candidate 3]]))),(SamplingData[[#This Row],[Total]]+SamplingData[[#This Row],[Winning Candidate]]-SamplingData[[#This Row],[Candidate 3]])/(SamplingData[[#Totals],[Winning Candidate]]-SamplingData[[#Totals],[Candidate 3]]), 0)</f>
        <v>2.3481598554978552E-2</v>
      </c>
      <c r="S196" s="100">
        <f>IF(AND(SamplingData[[#This Row],[Total]]&lt;&gt; 0, NOT(ISBLANK(SamplingData[[#This Row],[Candidate 4]]))),(SamplingData[[#This Row],[Total]]+SamplingData[[#This Row],[Winning Candidate]]-SamplingData[[#This Row],[Candidate 4]])/(SamplingData[[#Totals],[Winning Candidate]]-SamplingData[[#Totals],[Candidate 4]]), 0)</f>
        <v>0</v>
      </c>
      <c r="T196" s="100">
        <f>IF(AND(SamplingData[[#This Row],[Total]]&lt;&gt; 0, NOT(ISBLANK(SamplingData[[#This Row],[Candidate 5]]))),(SamplingData[[#This Row],[Total]]+SamplingData[[#This Row],[Winning Candidate]]-SamplingData[[#This Row],[Candidate 5]])/(SamplingData[[#Totals],[Winning Candidate]]-SamplingData[[#Totals],[Candidate 5]]), 0)</f>
        <v>0</v>
      </c>
      <c r="U196" s="100">
        <f>IF(AND(SamplingData[[#This Row],[Total]]&lt;&gt; 0, NOT(ISBLANK(SamplingData[[#This Row],[Candidate 6]]))),(SamplingData[[#This Row],[Total]]+SamplingData[[#This Row],[Losing Candidate]]-SamplingData[[#This Row],[Candidate 6]])/(SamplingData[[#Totals],[Winning Candidate]]-SamplingData[[#Totals],[Candidate 6]]), 0)</f>
        <v>0</v>
      </c>
      <c r="V196" s="100">
        <f>IF(AND(SamplingData[[#This Row],[Total]]&lt;&gt; 0, NOT(ISBLANK(SamplingData[[#This Row],[Candidate 7]]))),(SamplingData[[#This Row],[Total]]+SamplingData[[#This Row],[Winning Candidate]]-SamplingData[[#This Row],[Candidate 7]])/(SamplingData[[#Totals],[Winning Candidate]]-SamplingData[[#Totals],[Candidate 7]]), 0)</f>
        <v>0</v>
      </c>
      <c r="W196" s="100">
        <f>IF(AND(SamplingData[[#This Row],[Total]]&lt;&gt; 0, NOT(ISBLANK(SamplingData[[#This Row],[Candidate 8]]))),(SamplingData[[#This Row],[Total]]+SamplingData[[#This Row],[Winning Candidate]]-SamplingData[[#This Row],[Candidate 8]])/(SamplingData[[#Totals],[Winning Candidate]]-SamplingData[[#Totals],[Candidate 8]]), 0)</f>
        <v>0</v>
      </c>
      <c r="X1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6" s="100">
        <f>MAX(SamplingData[[#This Row],[Error Bound (up) - Max. possible relative overstatement - Losing Candidate]:[Error Bound (up) - Max. possible relative overstatement - Candidate 12]])</f>
        <v>2.4777194867581061E-2</v>
      </c>
      <c r="AC196" s="100">
        <f>IF(SamplingData[[#This Row],[Max Error Bound (up)]] = 0,0,SamplingData[[#This Row],[Max Error Bound (up)]]/SamplingData[[#Totals],[Max Error Bound (up)]])</f>
        <v>1.0055962066488257E-2</v>
      </c>
      <c r="AD196" s="104">
        <f>SUM($AC$5:AC196)</f>
        <v>0.1822242315081522</v>
      </c>
      <c r="AE196" s="100" t="str" cm="1">
        <f t="array" ref="AE196">IF(SamplingData[[#This Row],[up/U Selection Probability]] = 0, "Zero", TEXT(SamplingData[[#This Row],[Lower Range]], REPT("0",LEN('General Info'!$B$42))) &amp; " - " &amp; TEXT(SamplingData[[#This Row],[Upper Range]], REPT("0",LEN('General Info'!$B$42))))</f>
        <v>17217 - 18221</v>
      </c>
      <c r="AF196" s="100">
        <f>SamplingData[[#This Row],[Upper Range]]-SamplingData[[#This Row],[Span]]</f>
        <v>17216.826944166394</v>
      </c>
      <c r="AG196" s="100">
        <f>IF(ISNUMBER('General Info'!$B$42), ((SamplingData[[#This Row],[up/U Selection Probability]]) * 'General Info'!$B$44) - 1, 0)</f>
        <v>1004.5962066488257</v>
      </c>
      <c r="AH196" s="100">
        <f>IF(ISNUMBER('General Info'!$B$42), (SamplingData[[#This Row],[Running (cumulative) sum]] * ('General Info'!$B$42 -'General Info'!$B$43 + 1)) + 'General Info'!$B$43 - 1, 0)</f>
        <v>18221.423150815219</v>
      </c>
      <c r="AI196" s="100" t="str">
        <f>IF(ISERROR(MATCH(SamplingData[[#This Row],[Batch by Type (p)]],SelectedPrecincts[Batch Name], 0)), "", INDEX(SelectedPrecincts[Draw], MATCH(SamplingData[[#This Row],[Batch by Type (p)]],SelectedPrecincts[Batch Name], 0)))</f>
        <v/>
      </c>
      <c r="AJ196" s="101">
        <f>IF(COUNTIF(SelectedPrecincts[Batch Name],SamplingData[[#This Row],[Batch by Type (p)]]) &lt;&gt; 0, COUNTIF(SelectedPrecincts[Batch Name],SamplingData[[#This Row],[Batch by Type (p)]]), 0)</f>
        <v>0</v>
      </c>
    </row>
    <row r="197" spans="1:36" ht="15" customHeight="1" x14ac:dyDescent="0.35">
      <c r="A197" s="98" t="s">
        <v>408</v>
      </c>
      <c r="B197" s="98">
        <v>96</v>
      </c>
      <c r="C197" s="98">
        <v>20</v>
      </c>
      <c r="D197" s="93">
        <v>8</v>
      </c>
      <c r="E197" s="93"/>
      <c r="F197" s="93"/>
      <c r="G197" s="97"/>
      <c r="H197" s="97"/>
      <c r="I197" s="93"/>
      <c r="J197" s="93"/>
      <c r="K197" s="93"/>
      <c r="L197" s="93"/>
      <c r="M197" s="93"/>
      <c r="N197" s="98">
        <v>0</v>
      </c>
      <c r="O197" s="98">
        <v>1</v>
      </c>
      <c r="P197" s="99">
        <f>SUM(SamplingData[[#This Row],[Winning Candidate]:[Under Votes]])</f>
        <v>125</v>
      </c>
      <c r="Q197" s="100">
        <f>IF(AND(SamplingData[[#This Row],[Total]]&lt;&gt; 0, NOT(ISBLANK(SamplingData[[#This Row],[Losing Candidate]]))),(SamplingData[[#This Row],[Total]]+SamplingData[[#This Row],[Winning Candidate]]-SamplingData[[#This Row],[Losing Candidate]])/(SamplingData[[#Totals],[Winning Candidate]]-SamplingData[[#Totals],[Losing Candidate]]), 0)</f>
        <v>1.2704633082611719E-2</v>
      </c>
      <c r="R197" s="100">
        <f>IF(AND(SamplingData[[#This Row],[Total]]&lt;&gt; 0, NOT(ISBLANK(SamplingData[[#This Row],[Candidate 3]]))),(SamplingData[[#This Row],[Total]]+SamplingData[[#This Row],[Winning Candidate]]-SamplingData[[#This Row],[Candidate 3]])/(SamplingData[[#Totals],[Winning Candidate]]-SamplingData[[#Totals],[Candidate 3]]), 0)</f>
        <v>1.2023030029351999E-2</v>
      </c>
      <c r="S197" s="100">
        <f>IF(AND(SamplingData[[#This Row],[Total]]&lt;&gt; 0, NOT(ISBLANK(SamplingData[[#This Row],[Candidate 4]]))),(SamplingData[[#This Row],[Total]]+SamplingData[[#This Row],[Winning Candidate]]-SamplingData[[#This Row],[Candidate 4]])/(SamplingData[[#Totals],[Winning Candidate]]-SamplingData[[#Totals],[Candidate 4]]), 0)</f>
        <v>0</v>
      </c>
      <c r="T197" s="100">
        <f>IF(AND(SamplingData[[#This Row],[Total]]&lt;&gt; 0, NOT(ISBLANK(SamplingData[[#This Row],[Candidate 5]]))),(SamplingData[[#This Row],[Total]]+SamplingData[[#This Row],[Winning Candidate]]-SamplingData[[#This Row],[Candidate 5]])/(SamplingData[[#Totals],[Winning Candidate]]-SamplingData[[#Totals],[Candidate 5]]), 0)</f>
        <v>0</v>
      </c>
      <c r="U197" s="100">
        <f>IF(AND(SamplingData[[#This Row],[Total]]&lt;&gt; 0, NOT(ISBLANK(SamplingData[[#This Row],[Candidate 6]]))),(SamplingData[[#This Row],[Total]]+SamplingData[[#This Row],[Losing Candidate]]-SamplingData[[#This Row],[Candidate 6]])/(SamplingData[[#Totals],[Winning Candidate]]-SamplingData[[#Totals],[Candidate 6]]), 0)</f>
        <v>0</v>
      </c>
      <c r="V197" s="100">
        <f>IF(AND(SamplingData[[#This Row],[Total]]&lt;&gt; 0, NOT(ISBLANK(SamplingData[[#This Row],[Candidate 7]]))),(SamplingData[[#This Row],[Total]]+SamplingData[[#This Row],[Winning Candidate]]-SamplingData[[#This Row],[Candidate 7]])/(SamplingData[[#Totals],[Winning Candidate]]-SamplingData[[#Totals],[Candidate 7]]), 0)</f>
        <v>0</v>
      </c>
      <c r="W197" s="100">
        <f>IF(AND(SamplingData[[#This Row],[Total]]&lt;&gt; 0, NOT(ISBLANK(SamplingData[[#This Row],[Candidate 8]]))),(SamplingData[[#This Row],[Total]]+SamplingData[[#This Row],[Winning Candidate]]-SamplingData[[#This Row],[Candidate 8]])/(SamplingData[[#Totals],[Winning Candidate]]-SamplingData[[#Totals],[Candidate 8]]), 0)</f>
        <v>0</v>
      </c>
      <c r="X1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7" s="100">
        <f>MAX(SamplingData[[#This Row],[Error Bound (up) - Max. possible relative overstatement - Losing Candidate]:[Error Bound (up) - Max. possible relative overstatement - Candidate 12]])</f>
        <v>1.2704633082611719E-2</v>
      </c>
      <c r="AC197" s="100">
        <f>IF(SamplingData[[#This Row],[Max Error Bound (up)]] = 0,0,SamplingData[[#This Row],[Max Error Bound (up)]]/SamplingData[[#Totals],[Max Error Bound (up)]])</f>
        <v>5.1562458555207656E-3</v>
      </c>
      <c r="AD197" s="104">
        <f>SUM($AC$5:AC197)</f>
        <v>0.18738047736367297</v>
      </c>
      <c r="AE197" s="100" t="str" cm="1">
        <f t="array" ref="AE197">IF(SamplingData[[#This Row],[up/U Selection Probability]] = 0, "Zero", TEXT(SamplingData[[#This Row],[Lower Range]], REPT("0",LEN('General Info'!$B$42))) &amp; " - " &amp; TEXT(SamplingData[[#This Row],[Upper Range]], REPT("0",LEN('General Info'!$B$42))))</f>
        <v>18222 - 18737</v>
      </c>
      <c r="AF197" s="100">
        <f>SamplingData[[#This Row],[Upper Range]]-SamplingData[[#This Row],[Span]]</f>
        <v>18222.423150815222</v>
      </c>
      <c r="AG197" s="100">
        <f>IF(ISNUMBER('General Info'!$B$42), ((SamplingData[[#This Row],[up/U Selection Probability]]) * 'General Info'!$B$44) - 1, 0)</f>
        <v>514.62458555207661</v>
      </c>
      <c r="AH197" s="100">
        <f>IF(ISNUMBER('General Info'!$B$42), (SamplingData[[#This Row],[Running (cumulative) sum]] * ('General Info'!$B$42 -'General Info'!$B$43 + 1)) + 'General Info'!$B$43 - 1, 0)</f>
        <v>18737.047736367298</v>
      </c>
      <c r="AI197" s="100" t="str">
        <f>IF(ISERROR(MATCH(SamplingData[[#This Row],[Batch by Type (p)]],SelectedPrecincts[Batch Name], 0)), "", INDEX(SelectedPrecincts[Draw], MATCH(SamplingData[[#This Row],[Batch by Type (p)]],SelectedPrecincts[Batch Name], 0)))</f>
        <v/>
      </c>
      <c r="AJ197" s="101">
        <f>IF(COUNTIF(SelectedPrecincts[Batch Name],SamplingData[[#This Row],[Batch by Type (p)]]) &lt;&gt; 0, COUNTIF(SelectedPrecincts[Batch Name],SamplingData[[#This Row],[Batch by Type (p)]]), 0)</f>
        <v>0</v>
      </c>
    </row>
    <row r="198" spans="1:36" ht="15" customHeight="1" x14ac:dyDescent="0.35">
      <c r="A198" s="98" t="s">
        <v>409</v>
      </c>
      <c r="B198" s="98">
        <v>71</v>
      </c>
      <c r="C198" s="98">
        <v>12</v>
      </c>
      <c r="D198" s="93">
        <v>4</v>
      </c>
      <c r="E198" s="93"/>
      <c r="F198" s="93"/>
      <c r="G198" s="97"/>
      <c r="H198" s="97"/>
      <c r="I198" s="93"/>
      <c r="J198" s="93"/>
      <c r="K198" s="93"/>
      <c r="L198" s="93"/>
      <c r="M198" s="93"/>
      <c r="N198" s="98">
        <v>0</v>
      </c>
      <c r="O198" s="98">
        <v>0</v>
      </c>
      <c r="P198" s="99">
        <f>SUM(SamplingData[[#This Row],[Winning Candidate]:[Under Votes]])</f>
        <v>87</v>
      </c>
      <c r="Q198" s="100">
        <f>IF(AND(SamplingData[[#This Row],[Total]]&lt;&gt; 0, NOT(ISBLANK(SamplingData[[#This Row],[Losing Candidate]]))),(SamplingData[[#This Row],[Total]]+SamplingData[[#This Row],[Winning Candidate]]-SamplingData[[#This Row],[Losing Candidate]])/(SamplingData[[#Totals],[Winning Candidate]]-SamplingData[[#Totals],[Losing Candidate]]), 0)</f>
        <v>9.2282409455786609E-3</v>
      </c>
      <c r="R198" s="100">
        <f>IF(AND(SamplingData[[#This Row],[Total]]&lt;&gt; 0, NOT(ISBLANK(SamplingData[[#This Row],[Candidate 3]]))),(SamplingData[[#This Row],[Total]]+SamplingData[[#This Row],[Winning Candidate]]-SamplingData[[#This Row],[Candidate 3]])/(SamplingData[[#Totals],[Winning Candidate]]-SamplingData[[#Totals],[Candidate 3]]), 0)</f>
        <v>8.6927071573718664E-3</v>
      </c>
      <c r="S198" s="100">
        <f>IF(AND(SamplingData[[#This Row],[Total]]&lt;&gt; 0, NOT(ISBLANK(SamplingData[[#This Row],[Candidate 4]]))),(SamplingData[[#This Row],[Total]]+SamplingData[[#This Row],[Winning Candidate]]-SamplingData[[#This Row],[Candidate 4]])/(SamplingData[[#Totals],[Winning Candidate]]-SamplingData[[#Totals],[Candidate 4]]), 0)</f>
        <v>0</v>
      </c>
      <c r="T198" s="100">
        <f>IF(AND(SamplingData[[#This Row],[Total]]&lt;&gt; 0, NOT(ISBLANK(SamplingData[[#This Row],[Candidate 5]]))),(SamplingData[[#This Row],[Total]]+SamplingData[[#This Row],[Winning Candidate]]-SamplingData[[#This Row],[Candidate 5]])/(SamplingData[[#Totals],[Winning Candidate]]-SamplingData[[#Totals],[Candidate 5]]), 0)</f>
        <v>0</v>
      </c>
      <c r="U198" s="100">
        <f>IF(AND(SamplingData[[#This Row],[Total]]&lt;&gt; 0, NOT(ISBLANK(SamplingData[[#This Row],[Candidate 6]]))),(SamplingData[[#This Row],[Total]]+SamplingData[[#This Row],[Losing Candidate]]-SamplingData[[#This Row],[Candidate 6]])/(SamplingData[[#Totals],[Winning Candidate]]-SamplingData[[#Totals],[Candidate 6]]), 0)</f>
        <v>0</v>
      </c>
      <c r="V198" s="100">
        <f>IF(AND(SamplingData[[#This Row],[Total]]&lt;&gt; 0, NOT(ISBLANK(SamplingData[[#This Row],[Candidate 7]]))),(SamplingData[[#This Row],[Total]]+SamplingData[[#This Row],[Winning Candidate]]-SamplingData[[#This Row],[Candidate 7]])/(SamplingData[[#Totals],[Winning Candidate]]-SamplingData[[#Totals],[Candidate 7]]), 0)</f>
        <v>0</v>
      </c>
      <c r="W198" s="100">
        <f>IF(AND(SamplingData[[#This Row],[Total]]&lt;&gt; 0, NOT(ISBLANK(SamplingData[[#This Row],[Candidate 8]]))),(SamplingData[[#This Row],[Total]]+SamplingData[[#This Row],[Winning Candidate]]-SamplingData[[#This Row],[Candidate 8]])/(SamplingData[[#Totals],[Winning Candidate]]-SamplingData[[#Totals],[Candidate 8]]), 0)</f>
        <v>0</v>
      </c>
      <c r="X1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8" s="100">
        <f>MAX(SamplingData[[#This Row],[Error Bound (up) - Max. possible relative overstatement - Losing Candidate]:[Error Bound (up) - Max. possible relative overstatement - Candidate 12]])</f>
        <v>9.2282409455786609E-3</v>
      </c>
      <c r="AC198" s="100">
        <f>IF(SamplingData[[#This Row],[Max Error Bound (up)]] = 0,0,SamplingData[[#This Row],[Max Error Bound (up)]]/SamplingData[[#Totals],[Max Error Bound (up)]])</f>
        <v>3.7453328104777696E-3</v>
      </c>
      <c r="AD198" s="104">
        <f>SUM($AC$5:AC198)</f>
        <v>0.19112581017415073</v>
      </c>
      <c r="AE198" s="100" t="str" cm="1">
        <f t="array" ref="AE198">IF(SamplingData[[#This Row],[up/U Selection Probability]] = 0, "Zero", TEXT(SamplingData[[#This Row],[Lower Range]], REPT("0",LEN('General Info'!$B$42))) &amp; " - " &amp; TEXT(SamplingData[[#This Row],[Upper Range]], REPT("0",LEN('General Info'!$B$42))))</f>
        <v>18738 - 19112</v>
      </c>
      <c r="AF198" s="100">
        <f>SamplingData[[#This Row],[Upper Range]]-SamplingData[[#This Row],[Span]]</f>
        <v>18738.047736367294</v>
      </c>
      <c r="AG198" s="100">
        <f>IF(ISNUMBER('General Info'!$B$42), ((SamplingData[[#This Row],[up/U Selection Probability]]) * 'General Info'!$B$44) - 1, 0)</f>
        <v>373.53328104777694</v>
      </c>
      <c r="AH198" s="100">
        <f>IF(ISNUMBER('General Info'!$B$42), (SamplingData[[#This Row],[Running (cumulative) sum]] * ('General Info'!$B$42 -'General Info'!$B$43 + 1)) + 'General Info'!$B$43 - 1, 0)</f>
        <v>19111.581017415072</v>
      </c>
      <c r="AI198" s="100" t="str">
        <f>IF(ISERROR(MATCH(SamplingData[[#This Row],[Batch by Type (p)]],SelectedPrecincts[Batch Name], 0)), "", INDEX(SelectedPrecincts[Draw], MATCH(SamplingData[[#This Row],[Batch by Type (p)]],SelectedPrecincts[Batch Name], 0)))</f>
        <v/>
      </c>
      <c r="AJ198" s="101">
        <f>IF(COUNTIF(SelectedPrecincts[Batch Name],SamplingData[[#This Row],[Batch by Type (p)]]) &lt;&gt; 0, COUNTIF(SelectedPrecincts[Batch Name],SamplingData[[#This Row],[Batch by Type (p)]]), 0)</f>
        <v>0</v>
      </c>
    </row>
    <row r="199" spans="1:36" ht="15" customHeight="1" x14ac:dyDescent="0.35">
      <c r="A199" s="98" t="s">
        <v>410</v>
      </c>
      <c r="B199" s="98">
        <v>81</v>
      </c>
      <c r="C199" s="98">
        <v>19</v>
      </c>
      <c r="D199" s="93">
        <v>7</v>
      </c>
      <c r="E199" s="93"/>
      <c r="F199" s="93"/>
      <c r="G199" s="97"/>
      <c r="H199" s="97"/>
      <c r="I199" s="93"/>
      <c r="J199" s="93"/>
      <c r="K199" s="93"/>
      <c r="L199" s="93"/>
      <c r="M199" s="93"/>
      <c r="N199" s="98">
        <v>0</v>
      </c>
      <c r="O199" s="98">
        <v>0</v>
      </c>
      <c r="P199" s="99">
        <f>SUM(SamplingData[[#This Row],[Winning Candidate]:[Under Votes]])</f>
        <v>107</v>
      </c>
      <c r="Q199" s="100">
        <f>IF(AND(SamplingData[[#This Row],[Total]]&lt;&gt; 0, NOT(ISBLANK(SamplingData[[#This Row],[Losing Candidate]]))),(SamplingData[[#This Row],[Total]]+SamplingData[[#This Row],[Winning Candidate]]-SamplingData[[#This Row],[Losing Candidate]])/(SamplingData[[#Totals],[Winning Candidate]]-SamplingData[[#Totals],[Losing Candidate]]), 0)</f>
        <v>1.0682004930156122E-2</v>
      </c>
      <c r="R199" s="100">
        <f>IF(AND(SamplingData[[#This Row],[Total]]&lt;&gt; 0, NOT(ISBLANK(SamplingData[[#This Row],[Candidate 3]]))),(SamplingData[[#This Row],[Total]]+SamplingData[[#This Row],[Winning Candidate]]-SamplingData[[#This Row],[Candidate 3]])/(SamplingData[[#Totals],[Winning Candidate]]-SamplingData[[#Totals],[Candidate 3]]), 0)</f>
        <v>1.021675321743057E-2</v>
      </c>
      <c r="S199" s="100">
        <f>IF(AND(SamplingData[[#This Row],[Total]]&lt;&gt; 0, NOT(ISBLANK(SamplingData[[#This Row],[Candidate 4]]))),(SamplingData[[#This Row],[Total]]+SamplingData[[#This Row],[Winning Candidate]]-SamplingData[[#This Row],[Candidate 4]])/(SamplingData[[#Totals],[Winning Candidate]]-SamplingData[[#Totals],[Candidate 4]]), 0)</f>
        <v>0</v>
      </c>
      <c r="T199" s="100">
        <f>IF(AND(SamplingData[[#This Row],[Total]]&lt;&gt; 0, NOT(ISBLANK(SamplingData[[#This Row],[Candidate 5]]))),(SamplingData[[#This Row],[Total]]+SamplingData[[#This Row],[Winning Candidate]]-SamplingData[[#This Row],[Candidate 5]])/(SamplingData[[#Totals],[Winning Candidate]]-SamplingData[[#Totals],[Candidate 5]]), 0)</f>
        <v>0</v>
      </c>
      <c r="U199" s="100">
        <f>IF(AND(SamplingData[[#This Row],[Total]]&lt;&gt; 0, NOT(ISBLANK(SamplingData[[#This Row],[Candidate 6]]))),(SamplingData[[#This Row],[Total]]+SamplingData[[#This Row],[Losing Candidate]]-SamplingData[[#This Row],[Candidate 6]])/(SamplingData[[#Totals],[Winning Candidate]]-SamplingData[[#Totals],[Candidate 6]]), 0)</f>
        <v>0</v>
      </c>
      <c r="V199" s="100">
        <f>IF(AND(SamplingData[[#This Row],[Total]]&lt;&gt; 0, NOT(ISBLANK(SamplingData[[#This Row],[Candidate 7]]))),(SamplingData[[#This Row],[Total]]+SamplingData[[#This Row],[Winning Candidate]]-SamplingData[[#This Row],[Candidate 7]])/(SamplingData[[#Totals],[Winning Candidate]]-SamplingData[[#Totals],[Candidate 7]]), 0)</f>
        <v>0</v>
      </c>
      <c r="W199" s="100">
        <f>IF(AND(SamplingData[[#This Row],[Total]]&lt;&gt; 0, NOT(ISBLANK(SamplingData[[#This Row],[Candidate 8]]))),(SamplingData[[#This Row],[Total]]+SamplingData[[#This Row],[Winning Candidate]]-SamplingData[[#This Row],[Candidate 8]])/(SamplingData[[#Totals],[Winning Candidate]]-SamplingData[[#Totals],[Candidate 8]]), 0)</f>
        <v>0</v>
      </c>
      <c r="X1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9" s="100">
        <f>MAX(SamplingData[[#This Row],[Error Bound (up) - Max. possible relative overstatement - Losing Candidate]:[Error Bound (up) - Max. possible relative overstatement - Candidate 12]])</f>
        <v>1.0682004930156122E-2</v>
      </c>
      <c r="AC199" s="100">
        <f>IF(SamplingData[[#This Row],[Max Error Bound (up)]] = 0,0,SamplingData[[#This Row],[Max Error Bound (up)]]/SamplingData[[#Totals],[Max Error Bound (up)]])</f>
        <v>4.3353509929502949E-3</v>
      </c>
      <c r="AD199" s="104">
        <f>SUM($AC$5:AC199)</f>
        <v>0.19546116116710102</v>
      </c>
      <c r="AE199" s="100" t="str" cm="1">
        <f t="array" ref="AE199">IF(SamplingData[[#This Row],[up/U Selection Probability]] = 0, "Zero", TEXT(SamplingData[[#This Row],[Lower Range]], REPT("0",LEN('General Info'!$B$42))) &amp; " - " &amp; TEXT(SamplingData[[#This Row],[Upper Range]], REPT("0",LEN('General Info'!$B$42))))</f>
        <v>19113 - 19545</v>
      </c>
      <c r="AF199" s="100">
        <f>SamplingData[[#This Row],[Upper Range]]-SamplingData[[#This Row],[Span]]</f>
        <v>19112.581017415072</v>
      </c>
      <c r="AG199" s="100">
        <f>IF(ISNUMBER('General Info'!$B$42), ((SamplingData[[#This Row],[up/U Selection Probability]]) * 'General Info'!$B$44) - 1, 0)</f>
        <v>432.53509929502951</v>
      </c>
      <c r="AH199" s="100">
        <f>IF(ISNUMBER('General Info'!$B$42), (SamplingData[[#This Row],[Running (cumulative) sum]] * ('General Info'!$B$42 -'General Info'!$B$43 + 1)) + 'General Info'!$B$43 - 1, 0)</f>
        <v>19545.116116710102</v>
      </c>
      <c r="AI199" s="100" t="str">
        <f>IF(ISERROR(MATCH(SamplingData[[#This Row],[Batch by Type (p)]],SelectedPrecincts[Batch Name], 0)), "", INDEX(SelectedPrecincts[Draw], MATCH(SamplingData[[#This Row],[Batch by Type (p)]],SelectedPrecincts[Batch Name], 0)))</f>
        <v/>
      </c>
      <c r="AJ199" s="101">
        <f>IF(COUNTIF(SelectedPrecincts[Batch Name],SamplingData[[#This Row],[Batch by Type (p)]]) &lt;&gt; 0, COUNTIF(SelectedPrecincts[Batch Name],SamplingData[[#This Row],[Batch by Type (p)]]), 0)</f>
        <v>0</v>
      </c>
    </row>
    <row r="200" spans="1:36" ht="15" customHeight="1" x14ac:dyDescent="0.35">
      <c r="A200" s="98" t="s">
        <v>411</v>
      </c>
      <c r="B200" s="98">
        <v>114</v>
      </c>
      <c r="C200" s="98">
        <v>35</v>
      </c>
      <c r="D200" s="93">
        <v>9</v>
      </c>
      <c r="E200" s="93"/>
      <c r="F200" s="93"/>
      <c r="G200" s="97"/>
      <c r="H200" s="97"/>
      <c r="I200" s="93"/>
      <c r="J200" s="93"/>
      <c r="K200" s="93"/>
      <c r="L200" s="93"/>
      <c r="M200" s="93"/>
      <c r="N200" s="98">
        <v>0</v>
      </c>
      <c r="O200" s="98">
        <v>0</v>
      </c>
      <c r="P200" s="99">
        <f>SUM(SamplingData[[#This Row],[Winning Candidate]:[Under Votes]])</f>
        <v>158</v>
      </c>
      <c r="Q200" s="100">
        <f>IF(AND(SamplingData[[#This Row],[Total]]&lt;&gt; 0, NOT(ISBLANK(SamplingData[[#This Row],[Losing Candidate]]))),(SamplingData[[#This Row],[Total]]+SamplingData[[#This Row],[Winning Candidate]]-SamplingData[[#This Row],[Losing Candidate]])/(SamplingData[[#Totals],[Winning Candidate]]-SamplingData[[#Totals],[Losing Candidate]]), 0)</f>
        <v>1.4980089754124265E-2</v>
      </c>
      <c r="R200" s="100">
        <f>IF(AND(SamplingData[[#This Row],[Total]]&lt;&gt; 0, NOT(ISBLANK(SamplingData[[#This Row],[Candidate 3]]))),(SamplingData[[#This Row],[Total]]+SamplingData[[#This Row],[Winning Candidate]]-SamplingData[[#This Row],[Candidate 3]])/(SamplingData[[#Totals],[Winning Candidate]]-SamplingData[[#Totals],[Candidate 3]]), 0)</f>
        <v>1.4845337547979228E-2</v>
      </c>
      <c r="S200" s="100">
        <f>IF(AND(SamplingData[[#This Row],[Total]]&lt;&gt; 0, NOT(ISBLANK(SamplingData[[#This Row],[Candidate 4]]))),(SamplingData[[#This Row],[Total]]+SamplingData[[#This Row],[Winning Candidate]]-SamplingData[[#This Row],[Candidate 4]])/(SamplingData[[#Totals],[Winning Candidate]]-SamplingData[[#Totals],[Candidate 4]]), 0)</f>
        <v>0</v>
      </c>
      <c r="T200" s="100">
        <f>IF(AND(SamplingData[[#This Row],[Total]]&lt;&gt; 0, NOT(ISBLANK(SamplingData[[#This Row],[Candidate 5]]))),(SamplingData[[#This Row],[Total]]+SamplingData[[#This Row],[Winning Candidate]]-SamplingData[[#This Row],[Candidate 5]])/(SamplingData[[#Totals],[Winning Candidate]]-SamplingData[[#Totals],[Candidate 5]]), 0)</f>
        <v>0</v>
      </c>
      <c r="U200" s="100">
        <f>IF(AND(SamplingData[[#This Row],[Total]]&lt;&gt; 0, NOT(ISBLANK(SamplingData[[#This Row],[Candidate 6]]))),(SamplingData[[#This Row],[Total]]+SamplingData[[#This Row],[Losing Candidate]]-SamplingData[[#This Row],[Candidate 6]])/(SamplingData[[#Totals],[Winning Candidate]]-SamplingData[[#Totals],[Candidate 6]]), 0)</f>
        <v>0</v>
      </c>
      <c r="V200" s="100">
        <f>IF(AND(SamplingData[[#This Row],[Total]]&lt;&gt; 0, NOT(ISBLANK(SamplingData[[#This Row],[Candidate 7]]))),(SamplingData[[#This Row],[Total]]+SamplingData[[#This Row],[Winning Candidate]]-SamplingData[[#This Row],[Candidate 7]])/(SamplingData[[#Totals],[Winning Candidate]]-SamplingData[[#Totals],[Candidate 7]]), 0)</f>
        <v>0</v>
      </c>
      <c r="W200" s="100">
        <f>IF(AND(SamplingData[[#This Row],[Total]]&lt;&gt; 0, NOT(ISBLANK(SamplingData[[#This Row],[Candidate 8]]))),(SamplingData[[#This Row],[Total]]+SamplingData[[#This Row],[Winning Candidate]]-SamplingData[[#This Row],[Candidate 8]])/(SamplingData[[#Totals],[Winning Candidate]]-SamplingData[[#Totals],[Candidate 8]]), 0)</f>
        <v>0</v>
      </c>
      <c r="X2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0" s="100">
        <f>MAX(SamplingData[[#This Row],[Error Bound (up) - Max. possible relative overstatement - Losing Candidate]:[Error Bound (up) - Max. possible relative overstatement - Candidate 12]])</f>
        <v>1.4980089754124265E-2</v>
      </c>
      <c r="AC200" s="100">
        <f>IF(SamplingData[[#This Row],[Max Error Bound (up)]] = 0,0,SamplingData[[#This Row],[Max Error Bound (up)]]/SamplingData[[#Totals],[Max Error Bound (up)]])</f>
        <v>6.0797525759125432E-3</v>
      </c>
      <c r="AD200" s="104">
        <f>SUM($AC$5:AC200)</f>
        <v>0.20154091374301356</v>
      </c>
      <c r="AE200" s="100" t="str" cm="1">
        <f t="array" ref="AE200">IF(SamplingData[[#This Row],[up/U Selection Probability]] = 0, "Zero", TEXT(SamplingData[[#This Row],[Lower Range]], REPT("0",LEN('General Info'!$B$42))) &amp; " - " &amp; TEXT(SamplingData[[#This Row],[Upper Range]], REPT("0",LEN('General Info'!$B$42))))</f>
        <v>19546 - 20153</v>
      </c>
      <c r="AF200" s="100">
        <f>SamplingData[[#This Row],[Upper Range]]-SamplingData[[#This Row],[Span]]</f>
        <v>19546.116116710102</v>
      </c>
      <c r="AG200" s="100">
        <f>IF(ISNUMBER('General Info'!$B$42), ((SamplingData[[#This Row],[up/U Selection Probability]]) * 'General Info'!$B$44) - 1, 0)</f>
        <v>606.97525759125438</v>
      </c>
      <c r="AH200" s="100">
        <f>IF(ISNUMBER('General Info'!$B$42), (SamplingData[[#This Row],[Running (cumulative) sum]] * ('General Info'!$B$42 -'General Info'!$B$43 + 1)) + 'General Info'!$B$43 - 1, 0)</f>
        <v>20153.091374301355</v>
      </c>
      <c r="AI200" s="100" t="str">
        <f>IF(ISERROR(MATCH(SamplingData[[#This Row],[Batch by Type (p)]],SelectedPrecincts[Batch Name], 0)), "", INDEX(SelectedPrecincts[Draw], MATCH(SamplingData[[#This Row],[Batch by Type (p)]],SelectedPrecincts[Batch Name], 0)))</f>
        <v/>
      </c>
      <c r="AJ200" s="101">
        <f>IF(COUNTIF(SelectedPrecincts[Batch Name],SamplingData[[#This Row],[Batch by Type (p)]]) &lt;&gt; 0, COUNTIF(SelectedPrecincts[Batch Name],SamplingData[[#This Row],[Batch by Type (p)]]), 0)</f>
        <v>0</v>
      </c>
    </row>
    <row r="201" spans="1:36" ht="15" customHeight="1" x14ac:dyDescent="0.35">
      <c r="A201" s="98" t="s">
        <v>412</v>
      </c>
      <c r="B201" s="98">
        <v>88</v>
      </c>
      <c r="C201" s="98">
        <v>24</v>
      </c>
      <c r="D201" s="93">
        <v>5</v>
      </c>
      <c r="E201" s="93"/>
      <c r="F201" s="93"/>
      <c r="G201" s="97"/>
      <c r="H201" s="97"/>
      <c r="I201" s="93"/>
      <c r="J201" s="93"/>
      <c r="K201" s="93"/>
      <c r="L201" s="93"/>
      <c r="M201" s="93"/>
      <c r="N201" s="98">
        <v>0</v>
      </c>
      <c r="O201" s="98">
        <v>2</v>
      </c>
      <c r="P201" s="99">
        <f>SUM(SamplingData[[#This Row],[Winning Candidate]:[Under Votes]])</f>
        <v>119</v>
      </c>
      <c r="Q201" s="100">
        <f>IF(AND(SamplingData[[#This Row],[Total]]&lt;&gt; 0, NOT(ISBLANK(SamplingData[[#This Row],[Losing Candidate]]))),(SamplingData[[#This Row],[Total]]+SamplingData[[#This Row],[Winning Candidate]]-SamplingData[[#This Row],[Losing Candidate]])/(SamplingData[[#Totals],[Winning Candidate]]-SamplingData[[#Totals],[Losing Candidate]]), 0)</f>
        <v>1.1566904746855445E-2</v>
      </c>
      <c r="R201" s="100">
        <f>IF(AND(SamplingData[[#This Row],[Total]]&lt;&gt; 0, NOT(ISBLANK(SamplingData[[#This Row],[Candidate 3]]))),(SamplingData[[#This Row],[Total]]+SamplingData[[#This Row],[Winning Candidate]]-SamplingData[[#This Row],[Candidate 3]])/(SamplingData[[#Totals],[Winning Candidate]]-SamplingData[[#Totals],[Candidate 3]]), 0)</f>
        <v>1.1402122375254007E-2</v>
      </c>
      <c r="S201" s="100">
        <f>IF(AND(SamplingData[[#This Row],[Total]]&lt;&gt; 0, NOT(ISBLANK(SamplingData[[#This Row],[Candidate 4]]))),(SamplingData[[#This Row],[Total]]+SamplingData[[#This Row],[Winning Candidate]]-SamplingData[[#This Row],[Candidate 4]])/(SamplingData[[#Totals],[Winning Candidate]]-SamplingData[[#Totals],[Candidate 4]]), 0)</f>
        <v>0</v>
      </c>
      <c r="T201" s="100">
        <f>IF(AND(SamplingData[[#This Row],[Total]]&lt;&gt; 0, NOT(ISBLANK(SamplingData[[#This Row],[Candidate 5]]))),(SamplingData[[#This Row],[Total]]+SamplingData[[#This Row],[Winning Candidate]]-SamplingData[[#This Row],[Candidate 5]])/(SamplingData[[#Totals],[Winning Candidate]]-SamplingData[[#Totals],[Candidate 5]]), 0)</f>
        <v>0</v>
      </c>
      <c r="U201" s="100">
        <f>IF(AND(SamplingData[[#This Row],[Total]]&lt;&gt; 0, NOT(ISBLANK(SamplingData[[#This Row],[Candidate 6]]))),(SamplingData[[#This Row],[Total]]+SamplingData[[#This Row],[Losing Candidate]]-SamplingData[[#This Row],[Candidate 6]])/(SamplingData[[#Totals],[Winning Candidate]]-SamplingData[[#Totals],[Candidate 6]]), 0)</f>
        <v>0</v>
      </c>
      <c r="V201" s="100">
        <f>IF(AND(SamplingData[[#This Row],[Total]]&lt;&gt; 0, NOT(ISBLANK(SamplingData[[#This Row],[Candidate 7]]))),(SamplingData[[#This Row],[Total]]+SamplingData[[#This Row],[Winning Candidate]]-SamplingData[[#This Row],[Candidate 7]])/(SamplingData[[#Totals],[Winning Candidate]]-SamplingData[[#Totals],[Candidate 7]]), 0)</f>
        <v>0</v>
      </c>
      <c r="W201" s="100">
        <f>IF(AND(SamplingData[[#This Row],[Total]]&lt;&gt; 0, NOT(ISBLANK(SamplingData[[#This Row],[Candidate 8]]))),(SamplingData[[#This Row],[Total]]+SamplingData[[#This Row],[Winning Candidate]]-SamplingData[[#This Row],[Candidate 8]])/(SamplingData[[#Totals],[Winning Candidate]]-SamplingData[[#Totals],[Candidate 8]]), 0)</f>
        <v>0</v>
      </c>
      <c r="X2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1" s="100">
        <f>MAX(SamplingData[[#This Row],[Error Bound (up) - Max. possible relative overstatement - Losing Candidate]:[Error Bound (up) - Max. possible relative overstatement - Candidate 12]])</f>
        <v>1.1566904746855445E-2</v>
      </c>
      <c r="AC201" s="100">
        <f>IF(SamplingData[[#This Row],[Max Error Bound (up)]] = 0,0,SamplingData[[#This Row],[Max Error Bound (up)]]/SamplingData[[#Totals],[Max Error Bound (up)]])</f>
        <v>4.6944924953248755E-3</v>
      </c>
      <c r="AD201" s="104">
        <f>SUM($AC$5:AC201)</f>
        <v>0.20623540623833844</v>
      </c>
      <c r="AE201" s="100" t="str" cm="1">
        <f t="array" ref="AE201">IF(SamplingData[[#This Row],[up/U Selection Probability]] = 0, "Zero", TEXT(SamplingData[[#This Row],[Lower Range]], REPT("0",LEN('General Info'!$B$42))) &amp; " - " &amp; TEXT(SamplingData[[#This Row],[Upper Range]], REPT("0",LEN('General Info'!$B$42))))</f>
        <v>20154 - 20623</v>
      </c>
      <c r="AF201" s="100">
        <f>SamplingData[[#This Row],[Upper Range]]-SamplingData[[#This Row],[Span]]</f>
        <v>20154.091374301355</v>
      </c>
      <c r="AG201" s="100">
        <f>IF(ISNUMBER('General Info'!$B$42), ((SamplingData[[#This Row],[up/U Selection Probability]]) * 'General Info'!$B$44) - 1, 0)</f>
        <v>468.44924953248756</v>
      </c>
      <c r="AH201" s="100">
        <f>IF(ISNUMBER('General Info'!$B$42), (SamplingData[[#This Row],[Running (cumulative) sum]] * ('General Info'!$B$42 -'General Info'!$B$43 + 1)) + 'General Info'!$B$43 - 1, 0)</f>
        <v>20622.540623833844</v>
      </c>
      <c r="AI201" s="100" t="str">
        <f>IF(ISERROR(MATCH(SamplingData[[#This Row],[Batch by Type (p)]],SelectedPrecincts[Batch Name], 0)), "", INDEX(SelectedPrecincts[Draw], MATCH(SamplingData[[#This Row],[Batch by Type (p)]],SelectedPrecincts[Batch Name], 0)))</f>
        <v/>
      </c>
      <c r="AJ201" s="101">
        <f>IF(COUNTIF(SelectedPrecincts[Batch Name],SamplingData[[#This Row],[Batch by Type (p)]]) &lt;&gt; 0, COUNTIF(SelectedPrecincts[Batch Name],SamplingData[[#This Row],[Batch by Type (p)]]), 0)</f>
        <v>0</v>
      </c>
    </row>
    <row r="202" spans="1:36" ht="15" customHeight="1" x14ac:dyDescent="0.35">
      <c r="A202" s="98" t="s">
        <v>413</v>
      </c>
      <c r="B202" s="98">
        <v>60</v>
      </c>
      <c r="C202" s="98">
        <v>10</v>
      </c>
      <c r="D202" s="93">
        <v>5</v>
      </c>
      <c r="E202" s="93"/>
      <c r="F202" s="93"/>
      <c r="G202" s="97"/>
      <c r="H202" s="97"/>
      <c r="I202" s="93"/>
      <c r="J202" s="93"/>
      <c r="K202" s="93"/>
      <c r="L202" s="93"/>
      <c r="M202" s="93"/>
      <c r="N202" s="98">
        <v>0</v>
      </c>
      <c r="O202" s="98">
        <v>0</v>
      </c>
      <c r="P202" s="99">
        <f>SUM(SamplingData[[#This Row],[Winning Candidate]:[Under Votes]])</f>
        <v>75</v>
      </c>
      <c r="Q202" s="100">
        <f>IF(AND(SamplingData[[#This Row],[Total]]&lt;&gt; 0, NOT(ISBLANK(SamplingData[[#This Row],[Losing Candidate]]))),(SamplingData[[#This Row],[Total]]+SamplingData[[#This Row],[Winning Candidate]]-SamplingData[[#This Row],[Losing Candidate]])/(SamplingData[[#Totals],[Winning Candidate]]-SamplingData[[#Totals],[Losing Candidate]]), 0)</f>
        <v>7.9008912205296763E-3</v>
      </c>
      <c r="R202" s="100">
        <f>IF(AND(SamplingData[[#This Row],[Total]]&lt;&gt; 0, NOT(ISBLANK(SamplingData[[#This Row],[Candidate 3]]))),(SamplingData[[#This Row],[Total]]+SamplingData[[#This Row],[Winning Candidate]]-SamplingData[[#This Row],[Candidate 3]])/(SamplingData[[#Totals],[Winning Candidate]]-SamplingData[[#Totals],[Candidate 3]]), 0)</f>
        <v>7.3379995484307969E-3</v>
      </c>
      <c r="S202" s="100">
        <f>IF(AND(SamplingData[[#This Row],[Total]]&lt;&gt; 0, NOT(ISBLANK(SamplingData[[#This Row],[Candidate 4]]))),(SamplingData[[#This Row],[Total]]+SamplingData[[#This Row],[Winning Candidate]]-SamplingData[[#This Row],[Candidate 4]])/(SamplingData[[#Totals],[Winning Candidate]]-SamplingData[[#Totals],[Candidate 4]]), 0)</f>
        <v>0</v>
      </c>
      <c r="T202" s="100">
        <f>IF(AND(SamplingData[[#This Row],[Total]]&lt;&gt; 0, NOT(ISBLANK(SamplingData[[#This Row],[Candidate 5]]))),(SamplingData[[#This Row],[Total]]+SamplingData[[#This Row],[Winning Candidate]]-SamplingData[[#This Row],[Candidate 5]])/(SamplingData[[#Totals],[Winning Candidate]]-SamplingData[[#Totals],[Candidate 5]]), 0)</f>
        <v>0</v>
      </c>
      <c r="U202" s="100">
        <f>IF(AND(SamplingData[[#This Row],[Total]]&lt;&gt; 0, NOT(ISBLANK(SamplingData[[#This Row],[Candidate 6]]))),(SamplingData[[#This Row],[Total]]+SamplingData[[#This Row],[Losing Candidate]]-SamplingData[[#This Row],[Candidate 6]])/(SamplingData[[#Totals],[Winning Candidate]]-SamplingData[[#Totals],[Candidate 6]]), 0)</f>
        <v>0</v>
      </c>
      <c r="V202" s="100">
        <f>IF(AND(SamplingData[[#This Row],[Total]]&lt;&gt; 0, NOT(ISBLANK(SamplingData[[#This Row],[Candidate 7]]))),(SamplingData[[#This Row],[Total]]+SamplingData[[#This Row],[Winning Candidate]]-SamplingData[[#This Row],[Candidate 7]])/(SamplingData[[#Totals],[Winning Candidate]]-SamplingData[[#Totals],[Candidate 7]]), 0)</f>
        <v>0</v>
      </c>
      <c r="W202" s="100">
        <f>IF(AND(SamplingData[[#This Row],[Total]]&lt;&gt; 0, NOT(ISBLANK(SamplingData[[#This Row],[Candidate 8]]))),(SamplingData[[#This Row],[Total]]+SamplingData[[#This Row],[Winning Candidate]]-SamplingData[[#This Row],[Candidate 8]])/(SamplingData[[#Totals],[Winning Candidate]]-SamplingData[[#Totals],[Candidate 8]]), 0)</f>
        <v>0</v>
      </c>
      <c r="X2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2" s="100">
        <f>MAX(SamplingData[[#This Row],[Error Bound (up) - Max. possible relative overstatement - Losing Candidate]:[Error Bound (up) - Max. possible relative overstatement - Candidate 12]])</f>
        <v>7.9008912205296763E-3</v>
      </c>
      <c r="AC202" s="100">
        <f>IF(SamplingData[[#This Row],[Max Error Bound (up)]] = 0,0,SamplingData[[#This Row],[Max Error Bound (up)]]/SamplingData[[#Totals],[Max Error Bound (up)]])</f>
        <v>3.2066205569158987E-3</v>
      </c>
      <c r="AD202" s="104">
        <f>SUM($AC$5:AC202)</f>
        <v>0.20944202679525434</v>
      </c>
      <c r="AE202" s="100" t="str" cm="1">
        <f t="array" ref="AE202">IF(SamplingData[[#This Row],[up/U Selection Probability]] = 0, "Zero", TEXT(SamplingData[[#This Row],[Lower Range]], REPT("0",LEN('General Info'!$B$42))) &amp; " - " &amp; TEXT(SamplingData[[#This Row],[Upper Range]], REPT("0",LEN('General Info'!$B$42))))</f>
        <v>20624 - 20943</v>
      </c>
      <c r="AF202" s="100">
        <f>SamplingData[[#This Row],[Upper Range]]-SamplingData[[#This Row],[Span]]</f>
        <v>20623.540623833844</v>
      </c>
      <c r="AG202" s="100">
        <f>IF(ISNUMBER('General Info'!$B$42), ((SamplingData[[#This Row],[up/U Selection Probability]]) * 'General Info'!$B$44) - 1, 0)</f>
        <v>319.66205569158984</v>
      </c>
      <c r="AH202" s="100">
        <f>IF(ISNUMBER('General Info'!$B$42), (SamplingData[[#This Row],[Running (cumulative) sum]] * ('General Info'!$B$42 -'General Info'!$B$43 + 1)) + 'General Info'!$B$43 - 1, 0)</f>
        <v>20943.202679525435</v>
      </c>
      <c r="AI202" s="100" t="str">
        <f>IF(ISERROR(MATCH(SamplingData[[#This Row],[Batch by Type (p)]],SelectedPrecincts[Batch Name], 0)), "", INDEX(SelectedPrecincts[Draw], MATCH(SamplingData[[#This Row],[Batch by Type (p)]],SelectedPrecincts[Batch Name], 0)))</f>
        <v/>
      </c>
      <c r="AJ202" s="101">
        <f>IF(COUNTIF(SelectedPrecincts[Batch Name],SamplingData[[#This Row],[Batch by Type (p)]]) &lt;&gt; 0, COUNTIF(SelectedPrecincts[Batch Name],SamplingData[[#This Row],[Batch by Type (p)]]), 0)</f>
        <v>0</v>
      </c>
    </row>
    <row r="203" spans="1:36" ht="15" customHeight="1" x14ac:dyDescent="0.35">
      <c r="A203" s="98" t="s">
        <v>414</v>
      </c>
      <c r="B203" s="98">
        <v>110</v>
      </c>
      <c r="C203" s="98">
        <v>35</v>
      </c>
      <c r="D203" s="93">
        <v>9</v>
      </c>
      <c r="E203" s="93"/>
      <c r="F203" s="93"/>
      <c r="G203" s="97"/>
      <c r="H203" s="97"/>
      <c r="I203" s="93"/>
      <c r="J203" s="93"/>
      <c r="K203" s="93"/>
      <c r="L203" s="93"/>
      <c r="M203" s="93"/>
      <c r="N203" s="98">
        <v>0</v>
      </c>
      <c r="O203" s="98">
        <v>0</v>
      </c>
      <c r="P203" s="99">
        <f>SUM(SamplingData[[#This Row],[Winning Candidate]:[Under Votes]])</f>
        <v>154</v>
      </c>
      <c r="Q203" s="100">
        <f>IF(AND(SamplingData[[#This Row],[Total]]&lt;&gt; 0, NOT(ISBLANK(SamplingData[[#This Row],[Losing Candidate]]))),(SamplingData[[#This Row],[Total]]+SamplingData[[#This Row],[Winning Candidate]]-SamplingData[[#This Row],[Losing Candidate]])/(SamplingData[[#Totals],[Winning Candidate]]-SamplingData[[#Totals],[Losing Candidate]]), 0)</f>
        <v>1.4474432716010366E-2</v>
      </c>
      <c r="R203" s="100">
        <f>IF(AND(SamplingData[[#This Row],[Total]]&lt;&gt; 0, NOT(ISBLANK(SamplingData[[#This Row],[Candidate 3]]))),(SamplingData[[#This Row],[Total]]+SamplingData[[#This Row],[Winning Candidate]]-SamplingData[[#This Row],[Candidate 3]])/(SamplingData[[#Totals],[Winning Candidate]]-SamplingData[[#Totals],[Candidate 3]]), 0)</f>
        <v>1.4393768344998871E-2</v>
      </c>
      <c r="S203" s="100">
        <f>IF(AND(SamplingData[[#This Row],[Total]]&lt;&gt; 0, NOT(ISBLANK(SamplingData[[#This Row],[Candidate 4]]))),(SamplingData[[#This Row],[Total]]+SamplingData[[#This Row],[Winning Candidate]]-SamplingData[[#This Row],[Candidate 4]])/(SamplingData[[#Totals],[Winning Candidate]]-SamplingData[[#Totals],[Candidate 4]]), 0)</f>
        <v>0</v>
      </c>
      <c r="T203" s="100">
        <f>IF(AND(SamplingData[[#This Row],[Total]]&lt;&gt; 0, NOT(ISBLANK(SamplingData[[#This Row],[Candidate 5]]))),(SamplingData[[#This Row],[Total]]+SamplingData[[#This Row],[Winning Candidate]]-SamplingData[[#This Row],[Candidate 5]])/(SamplingData[[#Totals],[Winning Candidate]]-SamplingData[[#Totals],[Candidate 5]]), 0)</f>
        <v>0</v>
      </c>
      <c r="U203" s="100">
        <f>IF(AND(SamplingData[[#This Row],[Total]]&lt;&gt; 0, NOT(ISBLANK(SamplingData[[#This Row],[Candidate 6]]))),(SamplingData[[#This Row],[Total]]+SamplingData[[#This Row],[Losing Candidate]]-SamplingData[[#This Row],[Candidate 6]])/(SamplingData[[#Totals],[Winning Candidate]]-SamplingData[[#Totals],[Candidate 6]]), 0)</f>
        <v>0</v>
      </c>
      <c r="V203" s="100">
        <f>IF(AND(SamplingData[[#This Row],[Total]]&lt;&gt; 0, NOT(ISBLANK(SamplingData[[#This Row],[Candidate 7]]))),(SamplingData[[#This Row],[Total]]+SamplingData[[#This Row],[Winning Candidate]]-SamplingData[[#This Row],[Candidate 7]])/(SamplingData[[#Totals],[Winning Candidate]]-SamplingData[[#Totals],[Candidate 7]]), 0)</f>
        <v>0</v>
      </c>
      <c r="W203" s="100">
        <f>IF(AND(SamplingData[[#This Row],[Total]]&lt;&gt; 0, NOT(ISBLANK(SamplingData[[#This Row],[Candidate 8]]))),(SamplingData[[#This Row],[Total]]+SamplingData[[#This Row],[Winning Candidate]]-SamplingData[[#This Row],[Candidate 8]])/(SamplingData[[#Totals],[Winning Candidate]]-SamplingData[[#Totals],[Candidate 8]]), 0)</f>
        <v>0</v>
      </c>
      <c r="X2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3" s="100">
        <f>MAX(SamplingData[[#This Row],[Error Bound (up) - Max. possible relative overstatement - Losing Candidate]:[Error Bound (up) - Max. possible relative overstatement - Candidate 12]])</f>
        <v>1.4474432716010366E-2</v>
      </c>
      <c r="AC203" s="100">
        <f>IF(SamplingData[[#This Row],[Max Error Bound (up)]] = 0,0,SamplingData[[#This Row],[Max Error Bound (up)]]/SamplingData[[#Totals],[Max Error Bound (up)]])</f>
        <v>5.874528860269926E-3</v>
      </c>
      <c r="AD203" s="104">
        <f>SUM($AC$5:AC203)</f>
        <v>0.21531655565552427</v>
      </c>
      <c r="AE203" s="100" t="str" cm="1">
        <f t="array" ref="AE203">IF(SamplingData[[#This Row],[up/U Selection Probability]] = 0, "Zero", TEXT(SamplingData[[#This Row],[Lower Range]], REPT("0",LEN('General Info'!$B$42))) &amp; " - " &amp; TEXT(SamplingData[[#This Row],[Upper Range]], REPT("0",LEN('General Info'!$B$42))))</f>
        <v>20944 - 21531</v>
      </c>
      <c r="AF203" s="100">
        <f>SamplingData[[#This Row],[Upper Range]]-SamplingData[[#This Row],[Span]]</f>
        <v>20944.202679525435</v>
      </c>
      <c r="AG203" s="100">
        <f>IF(ISNUMBER('General Info'!$B$42), ((SamplingData[[#This Row],[up/U Selection Probability]]) * 'General Info'!$B$44) - 1, 0)</f>
        <v>586.45288602699259</v>
      </c>
      <c r="AH203" s="100">
        <f>IF(ISNUMBER('General Info'!$B$42), (SamplingData[[#This Row],[Running (cumulative) sum]] * ('General Info'!$B$42 -'General Info'!$B$43 + 1)) + 'General Info'!$B$43 - 1, 0)</f>
        <v>21530.655565552428</v>
      </c>
      <c r="AI203" s="100" t="str">
        <f>IF(ISERROR(MATCH(SamplingData[[#This Row],[Batch by Type (p)]],SelectedPrecincts[Batch Name], 0)), "", INDEX(SelectedPrecincts[Draw], MATCH(SamplingData[[#This Row],[Batch by Type (p)]],SelectedPrecincts[Batch Name], 0)))</f>
        <v/>
      </c>
      <c r="AJ203" s="101">
        <f>IF(COUNTIF(SelectedPrecincts[Batch Name],SamplingData[[#This Row],[Batch by Type (p)]]) &lt;&gt; 0, COUNTIF(SelectedPrecincts[Batch Name],SamplingData[[#This Row],[Batch by Type (p)]]), 0)</f>
        <v>0</v>
      </c>
    </row>
    <row r="204" spans="1:36" ht="15" customHeight="1" x14ac:dyDescent="0.35">
      <c r="A204" s="98" t="s">
        <v>415</v>
      </c>
      <c r="B204" s="98">
        <v>87</v>
      </c>
      <c r="C204" s="98">
        <v>31</v>
      </c>
      <c r="D204" s="93">
        <v>5</v>
      </c>
      <c r="E204" s="93"/>
      <c r="F204" s="93"/>
      <c r="G204" s="97"/>
      <c r="H204" s="97"/>
      <c r="I204" s="93"/>
      <c r="J204" s="93"/>
      <c r="K204" s="93"/>
      <c r="L204" s="93"/>
      <c r="M204" s="93"/>
      <c r="N204" s="98">
        <v>0</v>
      </c>
      <c r="O204" s="98">
        <v>0</v>
      </c>
      <c r="P204" s="99">
        <f>SUM(SamplingData[[#This Row],[Winning Candidate]:[Under Votes]])</f>
        <v>123</v>
      </c>
      <c r="Q204" s="100">
        <f>IF(AND(SamplingData[[#This Row],[Total]]&lt;&gt; 0, NOT(ISBLANK(SamplingData[[#This Row],[Losing Candidate]]))),(SamplingData[[#This Row],[Total]]+SamplingData[[#This Row],[Winning Candidate]]-SamplingData[[#This Row],[Losing Candidate]])/(SamplingData[[#Totals],[Winning Candidate]]-SamplingData[[#Totals],[Losing Candidate]]), 0)</f>
        <v>1.1314076227798496E-2</v>
      </c>
      <c r="R204" s="100">
        <f>IF(AND(SamplingData[[#This Row],[Total]]&lt;&gt; 0, NOT(ISBLANK(SamplingData[[#This Row],[Candidate 3]]))),(SamplingData[[#This Row],[Total]]+SamplingData[[#This Row],[Winning Candidate]]-SamplingData[[#This Row],[Candidate 3]])/(SamplingData[[#Totals],[Winning Candidate]]-SamplingData[[#Totals],[Candidate 3]]), 0)</f>
        <v>1.1571460826371642E-2</v>
      </c>
      <c r="S204" s="100">
        <f>IF(AND(SamplingData[[#This Row],[Total]]&lt;&gt; 0, NOT(ISBLANK(SamplingData[[#This Row],[Candidate 4]]))),(SamplingData[[#This Row],[Total]]+SamplingData[[#This Row],[Winning Candidate]]-SamplingData[[#This Row],[Candidate 4]])/(SamplingData[[#Totals],[Winning Candidate]]-SamplingData[[#Totals],[Candidate 4]]), 0)</f>
        <v>0</v>
      </c>
      <c r="T204" s="100">
        <f>IF(AND(SamplingData[[#This Row],[Total]]&lt;&gt; 0, NOT(ISBLANK(SamplingData[[#This Row],[Candidate 5]]))),(SamplingData[[#This Row],[Total]]+SamplingData[[#This Row],[Winning Candidate]]-SamplingData[[#This Row],[Candidate 5]])/(SamplingData[[#Totals],[Winning Candidate]]-SamplingData[[#Totals],[Candidate 5]]), 0)</f>
        <v>0</v>
      </c>
      <c r="U204" s="100">
        <f>IF(AND(SamplingData[[#This Row],[Total]]&lt;&gt; 0, NOT(ISBLANK(SamplingData[[#This Row],[Candidate 6]]))),(SamplingData[[#This Row],[Total]]+SamplingData[[#This Row],[Losing Candidate]]-SamplingData[[#This Row],[Candidate 6]])/(SamplingData[[#Totals],[Winning Candidate]]-SamplingData[[#Totals],[Candidate 6]]), 0)</f>
        <v>0</v>
      </c>
      <c r="V204" s="100">
        <f>IF(AND(SamplingData[[#This Row],[Total]]&lt;&gt; 0, NOT(ISBLANK(SamplingData[[#This Row],[Candidate 7]]))),(SamplingData[[#This Row],[Total]]+SamplingData[[#This Row],[Winning Candidate]]-SamplingData[[#This Row],[Candidate 7]])/(SamplingData[[#Totals],[Winning Candidate]]-SamplingData[[#Totals],[Candidate 7]]), 0)</f>
        <v>0</v>
      </c>
      <c r="W204" s="100">
        <f>IF(AND(SamplingData[[#This Row],[Total]]&lt;&gt; 0, NOT(ISBLANK(SamplingData[[#This Row],[Candidate 8]]))),(SamplingData[[#This Row],[Total]]+SamplingData[[#This Row],[Winning Candidate]]-SamplingData[[#This Row],[Candidate 8]])/(SamplingData[[#Totals],[Winning Candidate]]-SamplingData[[#Totals],[Candidate 8]]), 0)</f>
        <v>0</v>
      </c>
      <c r="X2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4" s="100">
        <f>MAX(SamplingData[[#This Row],[Error Bound (up) - Max. possible relative overstatement - Losing Candidate]:[Error Bound (up) - Max. possible relative overstatement - Candidate 12]])</f>
        <v>1.1571460826371642E-2</v>
      </c>
      <c r="AC204" s="100">
        <f>IF(SamplingData[[#This Row],[Max Error Bound (up)]] = 0,0,SamplingData[[#This Row],[Max Error Bound (up)]]/SamplingData[[#Totals],[Max Error Bound (up)]])</f>
        <v>4.696341605485716E-3</v>
      </c>
      <c r="AD204" s="104">
        <f>SUM($AC$5:AC204)</f>
        <v>0.22001289726100998</v>
      </c>
      <c r="AE204" s="100" t="str" cm="1">
        <f t="array" ref="AE204">IF(SamplingData[[#This Row],[up/U Selection Probability]] = 0, "Zero", TEXT(SamplingData[[#This Row],[Lower Range]], REPT("0",LEN('General Info'!$B$42))) &amp; " - " &amp; TEXT(SamplingData[[#This Row],[Upper Range]], REPT("0",LEN('General Info'!$B$42))))</f>
        <v>21532 - 22000</v>
      </c>
      <c r="AF204" s="100">
        <f>SamplingData[[#This Row],[Upper Range]]-SamplingData[[#This Row],[Span]]</f>
        <v>21531.655565552424</v>
      </c>
      <c r="AG204" s="100">
        <f>IF(ISNUMBER('General Info'!$B$42), ((SamplingData[[#This Row],[up/U Selection Probability]]) * 'General Info'!$B$44) - 1, 0)</f>
        <v>468.63416054857157</v>
      </c>
      <c r="AH204" s="100">
        <f>IF(ISNUMBER('General Info'!$B$42), (SamplingData[[#This Row],[Running (cumulative) sum]] * ('General Info'!$B$42 -'General Info'!$B$43 + 1)) + 'General Info'!$B$43 - 1, 0)</f>
        <v>22000.289726100997</v>
      </c>
      <c r="AI204" s="100" t="str">
        <f>IF(ISERROR(MATCH(SamplingData[[#This Row],[Batch by Type (p)]],SelectedPrecincts[Batch Name], 0)), "", INDEX(SelectedPrecincts[Draw], MATCH(SamplingData[[#This Row],[Batch by Type (p)]],SelectedPrecincts[Batch Name], 0)))</f>
        <v/>
      </c>
      <c r="AJ204" s="101">
        <f>IF(COUNTIF(SelectedPrecincts[Batch Name],SamplingData[[#This Row],[Batch by Type (p)]]) &lt;&gt; 0, COUNTIF(SelectedPrecincts[Batch Name],SamplingData[[#This Row],[Batch by Type (p)]]), 0)</f>
        <v>0</v>
      </c>
    </row>
    <row r="205" spans="1:36" ht="15" customHeight="1" x14ac:dyDescent="0.35">
      <c r="A205" s="98" t="s">
        <v>416</v>
      </c>
      <c r="B205" s="98">
        <v>106</v>
      </c>
      <c r="C205" s="98">
        <v>22</v>
      </c>
      <c r="D205" s="93">
        <v>6</v>
      </c>
      <c r="E205" s="93"/>
      <c r="F205" s="93"/>
      <c r="G205" s="97"/>
      <c r="H205" s="97"/>
      <c r="I205" s="93"/>
      <c r="J205" s="93"/>
      <c r="K205" s="93"/>
      <c r="L205" s="93"/>
      <c r="M205" s="93"/>
      <c r="N205" s="98">
        <v>0</v>
      </c>
      <c r="O205" s="98">
        <v>2</v>
      </c>
      <c r="P205" s="99">
        <f>SUM(SamplingData[[#This Row],[Winning Candidate]:[Under Votes]])</f>
        <v>136</v>
      </c>
      <c r="Q205" s="100">
        <f>IF(AND(SamplingData[[#This Row],[Total]]&lt;&gt; 0, NOT(ISBLANK(SamplingData[[#This Row],[Losing Candidate]]))),(SamplingData[[#This Row],[Total]]+SamplingData[[#This Row],[Winning Candidate]]-SamplingData[[#This Row],[Losing Candidate]])/(SamplingData[[#Totals],[Winning Candidate]]-SamplingData[[#Totals],[Losing Candidate]]), 0)</f>
        <v>1.3905568548132229E-2</v>
      </c>
      <c r="R205" s="100">
        <f>IF(AND(SamplingData[[#This Row],[Total]]&lt;&gt; 0, NOT(ISBLANK(SamplingData[[#This Row],[Candidate 3]]))),(SamplingData[[#This Row],[Total]]+SamplingData[[#This Row],[Winning Candidate]]-SamplingData[[#This Row],[Candidate 3]])/(SamplingData[[#Totals],[Winning Candidate]]-SamplingData[[#Totals],[Candidate 3]]), 0)</f>
        <v>1.3321291487920524E-2</v>
      </c>
      <c r="S205" s="100">
        <f>IF(AND(SamplingData[[#This Row],[Total]]&lt;&gt; 0, NOT(ISBLANK(SamplingData[[#This Row],[Candidate 4]]))),(SamplingData[[#This Row],[Total]]+SamplingData[[#This Row],[Winning Candidate]]-SamplingData[[#This Row],[Candidate 4]])/(SamplingData[[#Totals],[Winning Candidate]]-SamplingData[[#Totals],[Candidate 4]]), 0)</f>
        <v>0</v>
      </c>
      <c r="T205" s="100">
        <f>IF(AND(SamplingData[[#This Row],[Total]]&lt;&gt; 0, NOT(ISBLANK(SamplingData[[#This Row],[Candidate 5]]))),(SamplingData[[#This Row],[Total]]+SamplingData[[#This Row],[Winning Candidate]]-SamplingData[[#This Row],[Candidate 5]])/(SamplingData[[#Totals],[Winning Candidate]]-SamplingData[[#Totals],[Candidate 5]]), 0)</f>
        <v>0</v>
      </c>
      <c r="U205" s="100">
        <f>IF(AND(SamplingData[[#This Row],[Total]]&lt;&gt; 0, NOT(ISBLANK(SamplingData[[#This Row],[Candidate 6]]))),(SamplingData[[#This Row],[Total]]+SamplingData[[#This Row],[Losing Candidate]]-SamplingData[[#This Row],[Candidate 6]])/(SamplingData[[#Totals],[Winning Candidate]]-SamplingData[[#Totals],[Candidate 6]]), 0)</f>
        <v>0</v>
      </c>
      <c r="V205" s="100">
        <f>IF(AND(SamplingData[[#This Row],[Total]]&lt;&gt; 0, NOT(ISBLANK(SamplingData[[#This Row],[Candidate 7]]))),(SamplingData[[#This Row],[Total]]+SamplingData[[#This Row],[Winning Candidate]]-SamplingData[[#This Row],[Candidate 7]])/(SamplingData[[#Totals],[Winning Candidate]]-SamplingData[[#Totals],[Candidate 7]]), 0)</f>
        <v>0</v>
      </c>
      <c r="W205" s="100">
        <f>IF(AND(SamplingData[[#This Row],[Total]]&lt;&gt; 0, NOT(ISBLANK(SamplingData[[#This Row],[Candidate 8]]))),(SamplingData[[#This Row],[Total]]+SamplingData[[#This Row],[Winning Candidate]]-SamplingData[[#This Row],[Candidate 8]])/(SamplingData[[#Totals],[Winning Candidate]]-SamplingData[[#Totals],[Candidate 8]]), 0)</f>
        <v>0</v>
      </c>
      <c r="X2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5" s="100">
        <f>MAX(SamplingData[[#This Row],[Error Bound (up) - Max. possible relative overstatement - Losing Candidate]:[Error Bound (up) - Max. possible relative overstatement - Candidate 12]])</f>
        <v>1.3905568548132229E-2</v>
      </c>
      <c r="AC205" s="100">
        <f>IF(SamplingData[[#This Row],[Max Error Bound (up)]] = 0,0,SamplingData[[#This Row],[Max Error Bound (up)]]/SamplingData[[#Totals],[Max Error Bound (up)]])</f>
        <v>5.6436521801719814E-3</v>
      </c>
      <c r="AD205" s="104">
        <f>SUM($AC$5:AC205)</f>
        <v>0.22565654944118196</v>
      </c>
      <c r="AE205" s="100" t="str" cm="1">
        <f t="array" ref="AE205">IF(SamplingData[[#This Row],[up/U Selection Probability]] = 0, "Zero", TEXT(SamplingData[[#This Row],[Lower Range]], REPT("0",LEN('General Info'!$B$42))) &amp; " - " &amp; TEXT(SamplingData[[#This Row],[Upper Range]], REPT("0",LEN('General Info'!$B$42))))</f>
        <v>22001 - 22565</v>
      </c>
      <c r="AF205" s="100">
        <f>SamplingData[[#This Row],[Upper Range]]-SamplingData[[#This Row],[Span]]</f>
        <v>22001.289726100997</v>
      </c>
      <c r="AG205" s="100">
        <f>IF(ISNUMBER('General Info'!$B$42), ((SamplingData[[#This Row],[up/U Selection Probability]]) * 'General Info'!$B$44) - 1, 0)</f>
        <v>563.36521801719812</v>
      </c>
      <c r="AH205" s="100">
        <f>IF(ISNUMBER('General Info'!$B$42), (SamplingData[[#This Row],[Running (cumulative) sum]] * ('General Info'!$B$42 -'General Info'!$B$43 + 1)) + 'General Info'!$B$43 - 1, 0)</f>
        <v>22564.654944118196</v>
      </c>
      <c r="AI205" s="100" t="str">
        <f>IF(ISERROR(MATCH(SamplingData[[#This Row],[Batch by Type (p)]],SelectedPrecincts[Batch Name], 0)), "", INDEX(SelectedPrecincts[Draw], MATCH(SamplingData[[#This Row],[Batch by Type (p)]],SelectedPrecincts[Batch Name], 0)))</f>
        <v/>
      </c>
      <c r="AJ205" s="101">
        <f>IF(COUNTIF(SelectedPrecincts[Batch Name],SamplingData[[#This Row],[Batch by Type (p)]]) &lt;&gt; 0, COUNTIF(SelectedPrecincts[Batch Name],SamplingData[[#This Row],[Batch by Type (p)]]), 0)</f>
        <v>0</v>
      </c>
    </row>
    <row r="206" spans="1:36" ht="15" customHeight="1" x14ac:dyDescent="0.35">
      <c r="A206" s="98" t="s">
        <v>417</v>
      </c>
      <c r="B206" s="98">
        <v>61</v>
      </c>
      <c r="C206" s="98">
        <v>31</v>
      </c>
      <c r="D206" s="93">
        <v>6</v>
      </c>
      <c r="E206" s="93"/>
      <c r="F206" s="93"/>
      <c r="G206" s="97"/>
      <c r="H206" s="97"/>
      <c r="I206" s="93"/>
      <c r="J206" s="93"/>
      <c r="K206" s="93"/>
      <c r="L206" s="93"/>
      <c r="M206" s="93"/>
      <c r="N206" s="98">
        <v>0</v>
      </c>
      <c r="O206" s="98">
        <v>0</v>
      </c>
      <c r="P206" s="99">
        <f>SUM(SamplingData[[#This Row],[Winning Candidate]:[Under Votes]])</f>
        <v>98</v>
      </c>
      <c r="Q206" s="100">
        <f>IF(AND(SamplingData[[#This Row],[Total]]&lt;&gt; 0, NOT(ISBLANK(SamplingData[[#This Row],[Losing Candidate]]))),(SamplingData[[#This Row],[Total]]+SamplingData[[#This Row],[Winning Candidate]]-SamplingData[[#This Row],[Losing Candidate]])/(SamplingData[[#Totals],[Winning Candidate]]-SamplingData[[#Totals],[Losing Candidate]]), 0)</f>
        <v>8.0905126098223881E-3</v>
      </c>
      <c r="R206" s="100">
        <f>IF(AND(SamplingData[[#This Row],[Total]]&lt;&gt; 0, NOT(ISBLANK(SamplingData[[#This Row],[Candidate 3]]))),(SamplingData[[#This Row],[Total]]+SamplingData[[#This Row],[Winning Candidate]]-SamplingData[[#This Row],[Candidate 3]])/(SamplingData[[#Totals],[Winning Candidate]]-SamplingData[[#Totals],[Candidate 3]]), 0)</f>
        <v>8.6362610069993222E-3</v>
      </c>
      <c r="S206" s="100">
        <f>IF(AND(SamplingData[[#This Row],[Total]]&lt;&gt; 0, NOT(ISBLANK(SamplingData[[#This Row],[Candidate 4]]))),(SamplingData[[#This Row],[Total]]+SamplingData[[#This Row],[Winning Candidate]]-SamplingData[[#This Row],[Candidate 4]])/(SamplingData[[#Totals],[Winning Candidate]]-SamplingData[[#Totals],[Candidate 4]]), 0)</f>
        <v>0</v>
      </c>
      <c r="T206" s="100">
        <f>IF(AND(SamplingData[[#This Row],[Total]]&lt;&gt; 0, NOT(ISBLANK(SamplingData[[#This Row],[Candidate 5]]))),(SamplingData[[#This Row],[Total]]+SamplingData[[#This Row],[Winning Candidate]]-SamplingData[[#This Row],[Candidate 5]])/(SamplingData[[#Totals],[Winning Candidate]]-SamplingData[[#Totals],[Candidate 5]]), 0)</f>
        <v>0</v>
      </c>
      <c r="U206" s="100">
        <f>IF(AND(SamplingData[[#This Row],[Total]]&lt;&gt; 0, NOT(ISBLANK(SamplingData[[#This Row],[Candidate 6]]))),(SamplingData[[#This Row],[Total]]+SamplingData[[#This Row],[Losing Candidate]]-SamplingData[[#This Row],[Candidate 6]])/(SamplingData[[#Totals],[Winning Candidate]]-SamplingData[[#Totals],[Candidate 6]]), 0)</f>
        <v>0</v>
      </c>
      <c r="V206" s="100">
        <f>IF(AND(SamplingData[[#This Row],[Total]]&lt;&gt; 0, NOT(ISBLANK(SamplingData[[#This Row],[Candidate 7]]))),(SamplingData[[#This Row],[Total]]+SamplingData[[#This Row],[Winning Candidate]]-SamplingData[[#This Row],[Candidate 7]])/(SamplingData[[#Totals],[Winning Candidate]]-SamplingData[[#Totals],[Candidate 7]]), 0)</f>
        <v>0</v>
      </c>
      <c r="W206" s="100">
        <f>IF(AND(SamplingData[[#This Row],[Total]]&lt;&gt; 0, NOT(ISBLANK(SamplingData[[#This Row],[Candidate 8]]))),(SamplingData[[#This Row],[Total]]+SamplingData[[#This Row],[Winning Candidate]]-SamplingData[[#This Row],[Candidate 8]])/(SamplingData[[#Totals],[Winning Candidate]]-SamplingData[[#Totals],[Candidate 8]]), 0)</f>
        <v>0</v>
      </c>
      <c r="X2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6" s="100">
        <f>MAX(SamplingData[[#This Row],[Error Bound (up) - Max. possible relative overstatement - Losing Candidate]:[Error Bound (up) - Max. possible relative overstatement - Candidate 12]])</f>
        <v>8.6362610069993222E-3</v>
      </c>
      <c r="AC206" s="100">
        <f>IF(SamplingData[[#This Row],[Max Error Bound (up)]] = 0,0,SamplingData[[#This Row],[Max Error Bound (up)]]/SamplingData[[#Totals],[Max Error Bound (up)]])</f>
        <v>3.5050744665332417E-3</v>
      </c>
      <c r="AD206" s="104">
        <f>SUM($AC$5:AC206)</f>
        <v>0.22916162390771522</v>
      </c>
      <c r="AE206" s="100" t="str" cm="1">
        <f t="array" ref="AE206">IF(SamplingData[[#This Row],[up/U Selection Probability]] = 0, "Zero", TEXT(SamplingData[[#This Row],[Lower Range]], REPT("0",LEN('General Info'!$B$42))) &amp; " - " &amp; TEXT(SamplingData[[#This Row],[Upper Range]], REPT("0",LEN('General Info'!$B$42))))</f>
        <v>22566 - 22915</v>
      </c>
      <c r="AF206" s="100">
        <f>SamplingData[[#This Row],[Upper Range]]-SamplingData[[#This Row],[Span]]</f>
        <v>22565.6549441182</v>
      </c>
      <c r="AG206" s="100">
        <f>IF(ISNUMBER('General Info'!$B$42), ((SamplingData[[#This Row],[up/U Selection Probability]]) * 'General Info'!$B$44) - 1, 0)</f>
        <v>349.50744665332417</v>
      </c>
      <c r="AH206" s="100">
        <f>IF(ISNUMBER('General Info'!$B$42), (SamplingData[[#This Row],[Running (cumulative) sum]] * ('General Info'!$B$42 -'General Info'!$B$43 + 1)) + 'General Info'!$B$43 - 1, 0)</f>
        <v>22915.162390771522</v>
      </c>
      <c r="AI206" s="100" t="str">
        <f>IF(ISERROR(MATCH(SamplingData[[#This Row],[Batch by Type (p)]],SelectedPrecincts[Batch Name], 0)), "", INDEX(SelectedPrecincts[Draw], MATCH(SamplingData[[#This Row],[Batch by Type (p)]],SelectedPrecincts[Batch Name], 0)))</f>
        <v/>
      </c>
      <c r="AJ206" s="101">
        <f>IF(COUNTIF(SelectedPrecincts[Batch Name],SamplingData[[#This Row],[Batch by Type (p)]]) &lt;&gt; 0, COUNTIF(SelectedPrecincts[Batch Name],SamplingData[[#This Row],[Batch by Type (p)]]), 0)</f>
        <v>0</v>
      </c>
    </row>
    <row r="207" spans="1:36" ht="15" customHeight="1" x14ac:dyDescent="0.35">
      <c r="A207" s="98" t="s">
        <v>418</v>
      </c>
      <c r="B207" s="98">
        <v>80</v>
      </c>
      <c r="C207" s="98">
        <v>37</v>
      </c>
      <c r="D207" s="93">
        <v>21</v>
      </c>
      <c r="E207" s="93"/>
      <c r="F207" s="93"/>
      <c r="G207" s="97"/>
      <c r="H207" s="97"/>
      <c r="I207" s="93"/>
      <c r="J207" s="93"/>
      <c r="K207" s="93"/>
      <c r="L207" s="93"/>
      <c r="M207" s="93"/>
      <c r="N207" s="98">
        <v>0</v>
      </c>
      <c r="O207" s="98">
        <v>1</v>
      </c>
      <c r="P207" s="99">
        <f>SUM(SamplingData[[#This Row],[Winning Candidate]:[Under Votes]])</f>
        <v>139</v>
      </c>
      <c r="Q207" s="100">
        <f>IF(AND(SamplingData[[#This Row],[Total]]&lt;&gt; 0, NOT(ISBLANK(SamplingData[[#This Row],[Losing Candidate]]))),(SamplingData[[#This Row],[Total]]+SamplingData[[#This Row],[Winning Candidate]]-SamplingData[[#This Row],[Losing Candidate]])/(SamplingData[[#Totals],[Winning Candidate]]-SamplingData[[#Totals],[Losing Candidate]]), 0)</f>
        <v>1.1503697617091208E-2</v>
      </c>
      <c r="R207" s="100">
        <f>IF(AND(SamplingData[[#This Row],[Total]]&lt;&gt; 0, NOT(ISBLANK(SamplingData[[#This Row],[Candidate 3]]))),(SamplingData[[#This Row],[Total]]+SamplingData[[#This Row],[Winning Candidate]]-SamplingData[[#This Row],[Candidate 3]])/(SamplingData[[#Totals],[Winning Candidate]]-SamplingData[[#Totals],[Candidate 3]]), 0)</f>
        <v>1.1176337773763829E-2</v>
      </c>
      <c r="S207" s="100">
        <f>IF(AND(SamplingData[[#This Row],[Total]]&lt;&gt; 0, NOT(ISBLANK(SamplingData[[#This Row],[Candidate 4]]))),(SamplingData[[#This Row],[Total]]+SamplingData[[#This Row],[Winning Candidate]]-SamplingData[[#This Row],[Candidate 4]])/(SamplingData[[#Totals],[Winning Candidate]]-SamplingData[[#Totals],[Candidate 4]]), 0)</f>
        <v>0</v>
      </c>
      <c r="T207" s="100">
        <f>IF(AND(SamplingData[[#This Row],[Total]]&lt;&gt; 0, NOT(ISBLANK(SamplingData[[#This Row],[Candidate 5]]))),(SamplingData[[#This Row],[Total]]+SamplingData[[#This Row],[Winning Candidate]]-SamplingData[[#This Row],[Candidate 5]])/(SamplingData[[#Totals],[Winning Candidate]]-SamplingData[[#Totals],[Candidate 5]]), 0)</f>
        <v>0</v>
      </c>
      <c r="U207" s="100">
        <f>IF(AND(SamplingData[[#This Row],[Total]]&lt;&gt; 0, NOT(ISBLANK(SamplingData[[#This Row],[Candidate 6]]))),(SamplingData[[#This Row],[Total]]+SamplingData[[#This Row],[Losing Candidate]]-SamplingData[[#This Row],[Candidate 6]])/(SamplingData[[#Totals],[Winning Candidate]]-SamplingData[[#Totals],[Candidate 6]]), 0)</f>
        <v>0</v>
      </c>
      <c r="V207" s="100">
        <f>IF(AND(SamplingData[[#This Row],[Total]]&lt;&gt; 0, NOT(ISBLANK(SamplingData[[#This Row],[Candidate 7]]))),(SamplingData[[#This Row],[Total]]+SamplingData[[#This Row],[Winning Candidate]]-SamplingData[[#This Row],[Candidate 7]])/(SamplingData[[#Totals],[Winning Candidate]]-SamplingData[[#Totals],[Candidate 7]]), 0)</f>
        <v>0</v>
      </c>
      <c r="W207" s="100">
        <f>IF(AND(SamplingData[[#This Row],[Total]]&lt;&gt; 0, NOT(ISBLANK(SamplingData[[#This Row],[Candidate 8]]))),(SamplingData[[#This Row],[Total]]+SamplingData[[#This Row],[Winning Candidate]]-SamplingData[[#This Row],[Candidate 8]])/(SamplingData[[#Totals],[Winning Candidate]]-SamplingData[[#Totals],[Candidate 8]]), 0)</f>
        <v>0</v>
      </c>
      <c r="X2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7" s="100">
        <f>MAX(SamplingData[[#This Row],[Error Bound (up) - Max. possible relative overstatement - Losing Candidate]:[Error Bound (up) - Max. possible relative overstatement - Candidate 12]])</f>
        <v>1.1503697617091208E-2</v>
      </c>
      <c r="AC207" s="100">
        <f>IF(SamplingData[[#This Row],[Max Error Bound (up)]] = 0,0,SamplingData[[#This Row],[Max Error Bound (up)]]/SamplingData[[#Totals],[Max Error Bound (up)]])</f>
        <v>4.6688395308695481E-3</v>
      </c>
      <c r="AD207" s="104">
        <f>SUM($AC$5:AC207)</f>
        <v>0.23383046343858477</v>
      </c>
      <c r="AE207" s="100" t="str" cm="1">
        <f t="array" ref="AE207">IF(SamplingData[[#This Row],[up/U Selection Probability]] = 0, "Zero", TEXT(SamplingData[[#This Row],[Lower Range]], REPT("0",LEN('General Info'!$B$42))) &amp; " - " &amp; TEXT(SamplingData[[#This Row],[Upper Range]], REPT("0",LEN('General Info'!$B$42))))</f>
        <v>22916 - 23382</v>
      </c>
      <c r="AF207" s="100">
        <f>SamplingData[[#This Row],[Upper Range]]-SamplingData[[#This Row],[Span]]</f>
        <v>22916.162390771522</v>
      </c>
      <c r="AG207" s="100">
        <f>IF(ISNUMBER('General Info'!$B$42), ((SamplingData[[#This Row],[up/U Selection Probability]]) * 'General Info'!$B$44) - 1, 0)</f>
        <v>465.88395308695482</v>
      </c>
      <c r="AH207" s="100">
        <f>IF(ISNUMBER('General Info'!$B$42), (SamplingData[[#This Row],[Running (cumulative) sum]] * ('General Info'!$B$42 -'General Info'!$B$43 + 1)) + 'General Info'!$B$43 - 1, 0)</f>
        <v>23382.046343858477</v>
      </c>
      <c r="AI207" s="100" t="str">
        <f>IF(ISERROR(MATCH(SamplingData[[#This Row],[Batch by Type (p)]],SelectedPrecincts[Batch Name], 0)), "", INDEX(SelectedPrecincts[Draw], MATCH(SamplingData[[#This Row],[Batch by Type (p)]],SelectedPrecincts[Batch Name], 0)))</f>
        <v/>
      </c>
      <c r="AJ207" s="101">
        <f>IF(COUNTIF(SelectedPrecincts[Batch Name],SamplingData[[#This Row],[Batch by Type (p)]]) &lt;&gt; 0, COUNTIF(SelectedPrecincts[Batch Name],SamplingData[[#This Row],[Batch by Type (p)]]), 0)</f>
        <v>0</v>
      </c>
    </row>
    <row r="208" spans="1:36" ht="15" customHeight="1" x14ac:dyDescent="0.35">
      <c r="A208" s="98" t="s">
        <v>419</v>
      </c>
      <c r="B208" s="98">
        <v>74</v>
      </c>
      <c r="C208" s="98">
        <v>4</v>
      </c>
      <c r="D208" s="93">
        <v>3</v>
      </c>
      <c r="E208" s="93"/>
      <c r="F208" s="93"/>
      <c r="G208" s="97"/>
      <c r="H208" s="97"/>
      <c r="I208" s="93"/>
      <c r="J208" s="93"/>
      <c r="K208" s="93"/>
      <c r="L208" s="93"/>
      <c r="M208" s="93"/>
      <c r="N208" s="98">
        <v>0</v>
      </c>
      <c r="O208" s="98">
        <v>0</v>
      </c>
      <c r="P208" s="99">
        <f>SUM(SamplingData[[#This Row],[Winning Candidate]:[Under Votes]])</f>
        <v>81</v>
      </c>
      <c r="Q208" s="100">
        <f>IF(AND(SamplingData[[#This Row],[Total]]&lt;&gt; 0, NOT(ISBLANK(SamplingData[[#This Row],[Losing Candidate]]))),(SamplingData[[#This Row],[Total]]+SamplingData[[#This Row],[Winning Candidate]]-SamplingData[[#This Row],[Losing Candidate]])/(SamplingData[[#Totals],[Winning Candidate]]-SamplingData[[#Totals],[Losing Candidate]]), 0)</f>
        <v>9.5442765943998479E-3</v>
      </c>
      <c r="R208" s="100">
        <f>IF(AND(SamplingData[[#This Row],[Total]]&lt;&gt; 0, NOT(ISBLANK(SamplingData[[#This Row],[Candidate 3]]))),(SamplingData[[#This Row],[Total]]+SamplingData[[#This Row],[Winning Candidate]]-SamplingData[[#This Row],[Candidate 3]])/(SamplingData[[#Totals],[Winning Candidate]]-SamplingData[[#Totals],[Candidate 3]]), 0)</f>
        <v>8.579814856626778E-3</v>
      </c>
      <c r="S208" s="100">
        <f>IF(AND(SamplingData[[#This Row],[Total]]&lt;&gt; 0, NOT(ISBLANK(SamplingData[[#This Row],[Candidate 4]]))),(SamplingData[[#This Row],[Total]]+SamplingData[[#This Row],[Winning Candidate]]-SamplingData[[#This Row],[Candidate 4]])/(SamplingData[[#Totals],[Winning Candidate]]-SamplingData[[#Totals],[Candidate 4]]), 0)</f>
        <v>0</v>
      </c>
      <c r="T208" s="100">
        <f>IF(AND(SamplingData[[#This Row],[Total]]&lt;&gt; 0, NOT(ISBLANK(SamplingData[[#This Row],[Candidate 5]]))),(SamplingData[[#This Row],[Total]]+SamplingData[[#This Row],[Winning Candidate]]-SamplingData[[#This Row],[Candidate 5]])/(SamplingData[[#Totals],[Winning Candidate]]-SamplingData[[#Totals],[Candidate 5]]), 0)</f>
        <v>0</v>
      </c>
      <c r="U208" s="100">
        <f>IF(AND(SamplingData[[#This Row],[Total]]&lt;&gt; 0, NOT(ISBLANK(SamplingData[[#This Row],[Candidate 6]]))),(SamplingData[[#This Row],[Total]]+SamplingData[[#This Row],[Losing Candidate]]-SamplingData[[#This Row],[Candidate 6]])/(SamplingData[[#Totals],[Winning Candidate]]-SamplingData[[#Totals],[Candidate 6]]), 0)</f>
        <v>0</v>
      </c>
      <c r="V208" s="100">
        <f>IF(AND(SamplingData[[#This Row],[Total]]&lt;&gt; 0, NOT(ISBLANK(SamplingData[[#This Row],[Candidate 7]]))),(SamplingData[[#This Row],[Total]]+SamplingData[[#This Row],[Winning Candidate]]-SamplingData[[#This Row],[Candidate 7]])/(SamplingData[[#Totals],[Winning Candidate]]-SamplingData[[#Totals],[Candidate 7]]), 0)</f>
        <v>0</v>
      </c>
      <c r="W208" s="100">
        <f>IF(AND(SamplingData[[#This Row],[Total]]&lt;&gt; 0, NOT(ISBLANK(SamplingData[[#This Row],[Candidate 8]]))),(SamplingData[[#This Row],[Total]]+SamplingData[[#This Row],[Winning Candidate]]-SamplingData[[#This Row],[Candidate 8]])/(SamplingData[[#Totals],[Winning Candidate]]-SamplingData[[#Totals],[Candidate 8]]), 0)</f>
        <v>0</v>
      </c>
      <c r="X2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8" s="100">
        <f>MAX(SamplingData[[#This Row],[Error Bound (up) - Max. possible relative overstatement - Losing Candidate]:[Error Bound (up) - Max. possible relative overstatement - Candidate 12]])</f>
        <v>9.5442765943998479E-3</v>
      </c>
      <c r="AC208" s="100">
        <f>IF(SamplingData[[#This Row],[Max Error Bound (up)]] = 0,0,SamplingData[[#This Row],[Max Error Bound (up)]]/SamplingData[[#Totals],[Max Error Bound (up)]])</f>
        <v>3.8735976327544052E-3</v>
      </c>
      <c r="AD208" s="104">
        <f>SUM($AC$5:AC208)</f>
        <v>0.23770406107133918</v>
      </c>
      <c r="AE208" s="100" t="str" cm="1">
        <f t="array" ref="AE208">IF(SamplingData[[#This Row],[up/U Selection Probability]] = 0, "Zero", TEXT(SamplingData[[#This Row],[Lower Range]], REPT("0",LEN('General Info'!$B$42))) &amp; " - " &amp; TEXT(SamplingData[[#This Row],[Upper Range]], REPT("0",LEN('General Info'!$B$42))))</f>
        <v>23383 - 23769</v>
      </c>
      <c r="AF208" s="100">
        <f>SamplingData[[#This Row],[Upper Range]]-SamplingData[[#This Row],[Span]]</f>
        <v>23383.046343858477</v>
      </c>
      <c r="AG208" s="100">
        <f>IF(ISNUMBER('General Info'!$B$42), ((SamplingData[[#This Row],[up/U Selection Probability]]) * 'General Info'!$B$44) - 1, 0)</f>
        <v>386.35976327544051</v>
      </c>
      <c r="AH208" s="100">
        <f>IF(ISNUMBER('General Info'!$B$42), (SamplingData[[#This Row],[Running (cumulative) sum]] * ('General Info'!$B$42 -'General Info'!$B$43 + 1)) + 'General Info'!$B$43 - 1, 0)</f>
        <v>23769.406107133917</v>
      </c>
      <c r="AI208" s="100" t="str">
        <f>IF(ISERROR(MATCH(SamplingData[[#This Row],[Batch by Type (p)]],SelectedPrecincts[Batch Name], 0)), "", INDEX(SelectedPrecincts[Draw], MATCH(SamplingData[[#This Row],[Batch by Type (p)]],SelectedPrecincts[Batch Name], 0)))</f>
        <v/>
      </c>
      <c r="AJ208" s="101">
        <f>IF(COUNTIF(SelectedPrecincts[Batch Name],SamplingData[[#This Row],[Batch by Type (p)]]) &lt;&gt; 0, COUNTIF(SelectedPrecincts[Batch Name],SamplingData[[#This Row],[Batch by Type (p)]]), 0)</f>
        <v>0</v>
      </c>
    </row>
    <row r="209" spans="1:36" ht="15" customHeight="1" x14ac:dyDescent="0.35">
      <c r="A209" s="98" t="s">
        <v>420</v>
      </c>
      <c r="B209" s="98">
        <v>122</v>
      </c>
      <c r="C209" s="98">
        <v>9</v>
      </c>
      <c r="D209" s="93">
        <v>2</v>
      </c>
      <c r="E209" s="93"/>
      <c r="F209" s="93"/>
      <c r="G209" s="97"/>
      <c r="H209" s="97"/>
      <c r="I209" s="93"/>
      <c r="J209" s="93"/>
      <c r="K209" s="93"/>
      <c r="L209" s="93"/>
      <c r="M209" s="93"/>
      <c r="N209" s="98">
        <v>0</v>
      </c>
      <c r="O209" s="98">
        <v>0</v>
      </c>
      <c r="P209" s="99">
        <f>SUM(SamplingData[[#This Row],[Winning Candidate]:[Under Votes]])</f>
        <v>133</v>
      </c>
      <c r="Q209" s="100">
        <f>IF(AND(SamplingData[[#This Row],[Total]]&lt;&gt; 0, NOT(ISBLANK(SamplingData[[#This Row],[Losing Candidate]]))),(SamplingData[[#This Row],[Total]]+SamplingData[[#This Row],[Winning Candidate]]-SamplingData[[#This Row],[Losing Candidate]])/(SamplingData[[#Totals],[Winning Candidate]]-SamplingData[[#Totals],[Losing Candidate]]), 0)</f>
        <v>1.5548953922002402E-2</v>
      </c>
      <c r="R209" s="100">
        <f>IF(AND(SamplingData[[#This Row],[Total]]&lt;&gt; 0, NOT(ISBLANK(SamplingData[[#This Row],[Candidate 3]]))),(SamplingData[[#This Row],[Total]]+SamplingData[[#This Row],[Winning Candidate]]-SamplingData[[#This Row],[Candidate 3]])/(SamplingData[[#Totals],[Winning Candidate]]-SamplingData[[#Totals],[Candidate 3]]), 0)</f>
        <v>1.4280876044253783E-2</v>
      </c>
      <c r="S209" s="100">
        <f>IF(AND(SamplingData[[#This Row],[Total]]&lt;&gt; 0, NOT(ISBLANK(SamplingData[[#This Row],[Candidate 4]]))),(SamplingData[[#This Row],[Total]]+SamplingData[[#This Row],[Winning Candidate]]-SamplingData[[#This Row],[Candidate 4]])/(SamplingData[[#Totals],[Winning Candidate]]-SamplingData[[#Totals],[Candidate 4]]), 0)</f>
        <v>0</v>
      </c>
      <c r="T209" s="100">
        <f>IF(AND(SamplingData[[#This Row],[Total]]&lt;&gt; 0, NOT(ISBLANK(SamplingData[[#This Row],[Candidate 5]]))),(SamplingData[[#This Row],[Total]]+SamplingData[[#This Row],[Winning Candidate]]-SamplingData[[#This Row],[Candidate 5]])/(SamplingData[[#Totals],[Winning Candidate]]-SamplingData[[#Totals],[Candidate 5]]), 0)</f>
        <v>0</v>
      </c>
      <c r="U209" s="100">
        <f>IF(AND(SamplingData[[#This Row],[Total]]&lt;&gt; 0, NOT(ISBLANK(SamplingData[[#This Row],[Candidate 6]]))),(SamplingData[[#This Row],[Total]]+SamplingData[[#This Row],[Losing Candidate]]-SamplingData[[#This Row],[Candidate 6]])/(SamplingData[[#Totals],[Winning Candidate]]-SamplingData[[#Totals],[Candidate 6]]), 0)</f>
        <v>0</v>
      </c>
      <c r="V209" s="100">
        <f>IF(AND(SamplingData[[#This Row],[Total]]&lt;&gt; 0, NOT(ISBLANK(SamplingData[[#This Row],[Candidate 7]]))),(SamplingData[[#This Row],[Total]]+SamplingData[[#This Row],[Winning Candidate]]-SamplingData[[#This Row],[Candidate 7]])/(SamplingData[[#Totals],[Winning Candidate]]-SamplingData[[#Totals],[Candidate 7]]), 0)</f>
        <v>0</v>
      </c>
      <c r="W209" s="100">
        <f>IF(AND(SamplingData[[#This Row],[Total]]&lt;&gt; 0, NOT(ISBLANK(SamplingData[[#This Row],[Candidate 8]]))),(SamplingData[[#This Row],[Total]]+SamplingData[[#This Row],[Winning Candidate]]-SamplingData[[#This Row],[Candidate 8]])/(SamplingData[[#Totals],[Winning Candidate]]-SamplingData[[#Totals],[Candidate 8]]), 0)</f>
        <v>0</v>
      </c>
      <c r="X2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9" s="100">
        <f>MAX(SamplingData[[#This Row],[Error Bound (up) - Max. possible relative overstatement - Losing Candidate]:[Error Bound (up) - Max. possible relative overstatement - Candidate 12]])</f>
        <v>1.5548953922002402E-2</v>
      </c>
      <c r="AC209" s="100">
        <f>IF(SamplingData[[#This Row],[Max Error Bound (up)]] = 0,0,SamplingData[[#This Row],[Max Error Bound (up)]]/SamplingData[[#Totals],[Max Error Bound (up)]])</f>
        <v>6.3106292560104887E-3</v>
      </c>
      <c r="AD209" s="104">
        <f>SUM($AC$5:AC209)</f>
        <v>0.24401469032734968</v>
      </c>
      <c r="AE209" s="100" t="str" cm="1">
        <f t="array" ref="AE209">IF(SamplingData[[#This Row],[up/U Selection Probability]] = 0, "Zero", TEXT(SamplingData[[#This Row],[Lower Range]], REPT("0",LEN('General Info'!$B$42))) &amp; " - " &amp; TEXT(SamplingData[[#This Row],[Upper Range]], REPT("0",LEN('General Info'!$B$42))))</f>
        <v>23770 - 24400</v>
      </c>
      <c r="AF209" s="100">
        <f>SamplingData[[#This Row],[Upper Range]]-SamplingData[[#This Row],[Span]]</f>
        <v>23770.406107133917</v>
      </c>
      <c r="AG209" s="100">
        <f>IF(ISNUMBER('General Info'!$B$42), ((SamplingData[[#This Row],[up/U Selection Probability]]) * 'General Info'!$B$44) - 1, 0)</f>
        <v>630.06292560104885</v>
      </c>
      <c r="AH209" s="100">
        <f>IF(ISNUMBER('General Info'!$B$42), (SamplingData[[#This Row],[Running (cumulative) sum]] * ('General Info'!$B$42 -'General Info'!$B$43 + 1)) + 'General Info'!$B$43 - 1, 0)</f>
        <v>24400.469032734967</v>
      </c>
      <c r="AI209" s="100" t="str">
        <f>IF(ISERROR(MATCH(SamplingData[[#This Row],[Batch by Type (p)]],SelectedPrecincts[Batch Name], 0)), "", INDEX(SelectedPrecincts[Draw], MATCH(SamplingData[[#This Row],[Batch by Type (p)]],SelectedPrecincts[Batch Name], 0)))</f>
        <v/>
      </c>
      <c r="AJ209" s="101">
        <f>IF(COUNTIF(SelectedPrecincts[Batch Name],SamplingData[[#This Row],[Batch by Type (p)]]) &lt;&gt; 0, COUNTIF(SelectedPrecincts[Batch Name],SamplingData[[#This Row],[Batch by Type (p)]]), 0)</f>
        <v>0</v>
      </c>
    </row>
    <row r="210" spans="1:36" ht="15" customHeight="1" x14ac:dyDescent="0.35">
      <c r="A210" s="98" t="s">
        <v>421</v>
      </c>
      <c r="B210" s="98">
        <v>43</v>
      </c>
      <c r="C210" s="98">
        <v>5</v>
      </c>
      <c r="D210" s="93">
        <v>0</v>
      </c>
      <c r="E210" s="93"/>
      <c r="F210" s="93"/>
      <c r="G210" s="97"/>
      <c r="H210" s="97"/>
      <c r="I210" s="93"/>
      <c r="J210" s="93"/>
      <c r="K210" s="93"/>
      <c r="L210" s="93"/>
      <c r="M210" s="93"/>
      <c r="N210" s="98">
        <v>0</v>
      </c>
      <c r="O210" s="98">
        <v>0</v>
      </c>
      <c r="P210" s="99">
        <f>SUM(SamplingData[[#This Row],[Winning Candidate]:[Under Votes]])</f>
        <v>48</v>
      </c>
      <c r="Q210" s="100">
        <f>IF(AND(SamplingData[[#This Row],[Total]]&lt;&gt; 0, NOT(ISBLANK(SamplingData[[#This Row],[Losing Candidate]]))),(SamplingData[[#This Row],[Total]]+SamplingData[[#This Row],[Winning Candidate]]-SamplingData[[#This Row],[Losing Candidate]])/(SamplingData[[#Totals],[Winning Candidate]]-SamplingData[[#Totals],[Losing Candidate]]), 0)</f>
        <v>5.4358131597244171E-3</v>
      </c>
      <c r="R210" s="100">
        <f>IF(AND(SamplingData[[#This Row],[Total]]&lt;&gt; 0, NOT(ISBLANK(SamplingData[[#This Row],[Candidate 3]]))),(SamplingData[[#This Row],[Total]]+SamplingData[[#This Row],[Winning Candidate]]-SamplingData[[#This Row],[Candidate 3]])/(SamplingData[[#Totals],[Winning Candidate]]-SamplingData[[#Totals],[Candidate 3]]), 0)</f>
        <v>5.1365996839015582E-3</v>
      </c>
      <c r="S210" s="100">
        <f>IF(AND(SamplingData[[#This Row],[Total]]&lt;&gt; 0, NOT(ISBLANK(SamplingData[[#This Row],[Candidate 4]]))),(SamplingData[[#This Row],[Total]]+SamplingData[[#This Row],[Winning Candidate]]-SamplingData[[#This Row],[Candidate 4]])/(SamplingData[[#Totals],[Winning Candidate]]-SamplingData[[#Totals],[Candidate 4]]), 0)</f>
        <v>0</v>
      </c>
      <c r="T210" s="100">
        <f>IF(AND(SamplingData[[#This Row],[Total]]&lt;&gt; 0, NOT(ISBLANK(SamplingData[[#This Row],[Candidate 5]]))),(SamplingData[[#This Row],[Total]]+SamplingData[[#This Row],[Winning Candidate]]-SamplingData[[#This Row],[Candidate 5]])/(SamplingData[[#Totals],[Winning Candidate]]-SamplingData[[#Totals],[Candidate 5]]), 0)</f>
        <v>0</v>
      </c>
      <c r="U210" s="100">
        <f>IF(AND(SamplingData[[#This Row],[Total]]&lt;&gt; 0, NOT(ISBLANK(SamplingData[[#This Row],[Candidate 6]]))),(SamplingData[[#This Row],[Total]]+SamplingData[[#This Row],[Losing Candidate]]-SamplingData[[#This Row],[Candidate 6]])/(SamplingData[[#Totals],[Winning Candidate]]-SamplingData[[#Totals],[Candidate 6]]), 0)</f>
        <v>0</v>
      </c>
      <c r="V210" s="100">
        <f>IF(AND(SamplingData[[#This Row],[Total]]&lt;&gt; 0, NOT(ISBLANK(SamplingData[[#This Row],[Candidate 7]]))),(SamplingData[[#This Row],[Total]]+SamplingData[[#This Row],[Winning Candidate]]-SamplingData[[#This Row],[Candidate 7]])/(SamplingData[[#Totals],[Winning Candidate]]-SamplingData[[#Totals],[Candidate 7]]), 0)</f>
        <v>0</v>
      </c>
      <c r="W210" s="100">
        <f>IF(AND(SamplingData[[#This Row],[Total]]&lt;&gt; 0, NOT(ISBLANK(SamplingData[[#This Row],[Candidate 8]]))),(SamplingData[[#This Row],[Total]]+SamplingData[[#This Row],[Winning Candidate]]-SamplingData[[#This Row],[Candidate 8]])/(SamplingData[[#Totals],[Winning Candidate]]-SamplingData[[#Totals],[Candidate 8]]), 0)</f>
        <v>0</v>
      </c>
      <c r="X2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0" s="100">
        <f>MAX(SamplingData[[#This Row],[Error Bound (up) - Max. possible relative overstatement - Losing Candidate]:[Error Bound (up) - Max. possible relative overstatement - Candidate 12]])</f>
        <v>5.4358131597244171E-3</v>
      </c>
      <c r="AC210" s="100">
        <f>IF(SamplingData[[#This Row],[Max Error Bound (up)]] = 0,0,SamplingData[[#This Row],[Max Error Bound (up)]]/SamplingData[[#Totals],[Max Error Bound (up)]])</f>
        <v>2.2061549431581385E-3</v>
      </c>
      <c r="AD210" s="104">
        <f>SUM($AC$5:AC210)</f>
        <v>0.24622084527050783</v>
      </c>
      <c r="AE210" s="100" t="str" cm="1">
        <f t="array" ref="AE210">IF(SamplingData[[#This Row],[up/U Selection Probability]] = 0, "Zero", TEXT(SamplingData[[#This Row],[Lower Range]], REPT("0",LEN('General Info'!$B$42))) &amp; " - " &amp; TEXT(SamplingData[[#This Row],[Upper Range]], REPT("0",LEN('General Info'!$B$42))))</f>
        <v>24401 - 24621</v>
      </c>
      <c r="AF210" s="100">
        <f>SamplingData[[#This Row],[Upper Range]]-SamplingData[[#This Row],[Span]]</f>
        <v>24401.469032734967</v>
      </c>
      <c r="AG210" s="100">
        <f>IF(ISNUMBER('General Info'!$B$42), ((SamplingData[[#This Row],[up/U Selection Probability]]) * 'General Info'!$B$44) - 1, 0)</f>
        <v>219.61549431581386</v>
      </c>
      <c r="AH210" s="100">
        <f>IF(ISNUMBER('General Info'!$B$42), (SamplingData[[#This Row],[Running (cumulative) sum]] * ('General Info'!$B$42 -'General Info'!$B$43 + 1)) + 'General Info'!$B$43 - 1, 0)</f>
        <v>24621.084527050782</v>
      </c>
      <c r="AI210" s="100" t="str">
        <f>IF(ISERROR(MATCH(SamplingData[[#This Row],[Batch by Type (p)]],SelectedPrecincts[Batch Name], 0)), "", INDEX(SelectedPrecincts[Draw], MATCH(SamplingData[[#This Row],[Batch by Type (p)]],SelectedPrecincts[Batch Name], 0)))</f>
        <v/>
      </c>
      <c r="AJ210" s="101">
        <f>IF(COUNTIF(SelectedPrecincts[Batch Name],SamplingData[[#This Row],[Batch by Type (p)]]) &lt;&gt; 0, COUNTIF(SelectedPrecincts[Batch Name],SamplingData[[#This Row],[Batch by Type (p)]]), 0)</f>
        <v>0</v>
      </c>
    </row>
    <row r="211" spans="1:36" ht="15" customHeight="1" x14ac:dyDescent="0.35">
      <c r="A211" s="98" t="s">
        <v>422</v>
      </c>
      <c r="B211" s="98">
        <v>98</v>
      </c>
      <c r="C211" s="98">
        <v>12</v>
      </c>
      <c r="D211" s="93">
        <v>4</v>
      </c>
      <c r="E211" s="93"/>
      <c r="F211" s="93"/>
      <c r="G211" s="97"/>
      <c r="H211" s="97"/>
      <c r="I211" s="93"/>
      <c r="J211" s="93"/>
      <c r="K211" s="93"/>
      <c r="L211" s="93"/>
      <c r="M211" s="93"/>
      <c r="N211" s="98">
        <v>0</v>
      </c>
      <c r="O211" s="98">
        <v>1</v>
      </c>
      <c r="P211" s="99">
        <f>SUM(SamplingData[[#This Row],[Winning Candidate]:[Under Votes]])</f>
        <v>115</v>
      </c>
      <c r="Q211" s="100">
        <f>IF(AND(SamplingData[[#This Row],[Total]]&lt;&gt; 0, NOT(ISBLANK(SamplingData[[#This Row],[Losing Candidate]]))),(SamplingData[[#This Row],[Total]]+SamplingData[[#This Row],[Winning Candidate]]-SamplingData[[#This Row],[Losing Candidate]])/(SamplingData[[#Totals],[Winning Candidate]]-SamplingData[[#Totals],[Losing Candidate]]), 0)</f>
        <v>1.2704633082611719E-2</v>
      </c>
      <c r="R211" s="100">
        <f>IF(AND(SamplingData[[#This Row],[Total]]&lt;&gt; 0, NOT(ISBLANK(SamplingData[[#This Row],[Candidate 3]]))),(SamplingData[[#This Row],[Total]]+SamplingData[[#This Row],[Winning Candidate]]-SamplingData[[#This Row],[Candidate 3]])/(SamplingData[[#Totals],[Winning Candidate]]-SamplingData[[#Totals],[Candidate 3]]), 0)</f>
        <v>1.179724542786182E-2</v>
      </c>
      <c r="S211" s="100">
        <f>IF(AND(SamplingData[[#This Row],[Total]]&lt;&gt; 0, NOT(ISBLANK(SamplingData[[#This Row],[Candidate 4]]))),(SamplingData[[#This Row],[Total]]+SamplingData[[#This Row],[Winning Candidate]]-SamplingData[[#This Row],[Candidate 4]])/(SamplingData[[#Totals],[Winning Candidate]]-SamplingData[[#Totals],[Candidate 4]]), 0)</f>
        <v>0</v>
      </c>
      <c r="T211" s="100">
        <f>IF(AND(SamplingData[[#This Row],[Total]]&lt;&gt; 0, NOT(ISBLANK(SamplingData[[#This Row],[Candidate 5]]))),(SamplingData[[#This Row],[Total]]+SamplingData[[#This Row],[Winning Candidate]]-SamplingData[[#This Row],[Candidate 5]])/(SamplingData[[#Totals],[Winning Candidate]]-SamplingData[[#Totals],[Candidate 5]]), 0)</f>
        <v>0</v>
      </c>
      <c r="U211" s="100">
        <f>IF(AND(SamplingData[[#This Row],[Total]]&lt;&gt; 0, NOT(ISBLANK(SamplingData[[#This Row],[Candidate 6]]))),(SamplingData[[#This Row],[Total]]+SamplingData[[#This Row],[Losing Candidate]]-SamplingData[[#This Row],[Candidate 6]])/(SamplingData[[#Totals],[Winning Candidate]]-SamplingData[[#Totals],[Candidate 6]]), 0)</f>
        <v>0</v>
      </c>
      <c r="V211" s="100">
        <f>IF(AND(SamplingData[[#This Row],[Total]]&lt;&gt; 0, NOT(ISBLANK(SamplingData[[#This Row],[Candidate 7]]))),(SamplingData[[#This Row],[Total]]+SamplingData[[#This Row],[Winning Candidate]]-SamplingData[[#This Row],[Candidate 7]])/(SamplingData[[#Totals],[Winning Candidate]]-SamplingData[[#Totals],[Candidate 7]]), 0)</f>
        <v>0</v>
      </c>
      <c r="W211" s="100">
        <f>IF(AND(SamplingData[[#This Row],[Total]]&lt;&gt; 0, NOT(ISBLANK(SamplingData[[#This Row],[Candidate 8]]))),(SamplingData[[#This Row],[Total]]+SamplingData[[#This Row],[Winning Candidate]]-SamplingData[[#This Row],[Candidate 8]])/(SamplingData[[#Totals],[Winning Candidate]]-SamplingData[[#Totals],[Candidate 8]]), 0)</f>
        <v>0</v>
      </c>
      <c r="X2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1" s="100">
        <f>MAX(SamplingData[[#This Row],[Error Bound (up) - Max. possible relative overstatement - Losing Candidate]:[Error Bound (up) - Max. possible relative overstatement - Candidate 12]])</f>
        <v>1.2704633082611719E-2</v>
      </c>
      <c r="AC211" s="100">
        <f>IF(SamplingData[[#This Row],[Max Error Bound (up)]] = 0,0,SamplingData[[#This Row],[Max Error Bound (up)]]/SamplingData[[#Totals],[Max Error Bound (up)]])</f>
        <v>5.1562458555207656E-3</v>
      </c>
      <c r="AD211" s="104">
        <f>SUM($AC$5:AC211)</f>
        <v>0.25137709112602857</v>
      </c>
      <c r="AE211" s="100" t="str" cm="1">
        <f t="array" ref="AE211">IF(SamplingData[[#This Row],[up/U Selection Probability]] = 0, "Zero", TEXT(SamplingData[[#This Row],[Lower Range]], REPT("0",LEN('General Info'!$B$42))) &amp; " - " &amp; TEXT(SamplingData[[#This Row],[Upper Range]], REPT("0",LEN('General Info'!$B$42))))</f>
        <v>24622 - 25137</v>
      </c>
      <c r="AF211" s="100">
        <f>SamplingData[[#This Row],[Upper Range]]-SamplingData[[#This Row],[Span]]</f>
        <v>24622.084527050782</v>
      </c>
      <c r="AG211" s="100">
        <f>IF(ISNUMBER('General Info'!$B$42), ((SamplingData[[#This Row],[up/U Selection Probability]]) * 'General Info'!$B$44) - 1, 0)</f>
        <v>514.62458555207661</v>
      </c>
      <c r="AH211" s="100">
        <f>IF(ISNUMBER('General Info'!$B$42), (SamplingData[[#This Row],[Running (cumulative) sum]] * ('General Info'!$B$42 -'General Info'!$B$43 + 1)) + 'General Info'!$B$43 - 1, 0)</f>
        <v>25136.709112602857</v>
      </c>
      <c r="AI211" s="100" t="str">
        <f>IF(ISERROR(MATCH(SamplingData[[#This Row],[Batch by Type (p)]],SelectedPrecincts[Batch Name], 0)), "", INDEX(SelectedPrecincts[Draw], MATCH(SamplingData[[#This Row],[Batch by Type (p)]],SelectedPrecincts[Batch Name], 0)))</f>
        <v/>
      </c>
      <c r="AJ211" s="101">
        <f>IF(COUNTIF(SelectedPrecincts[Batch Name],SamplingData[[#This Row],[Batch by Type (p)]]) &lt;&gt; 0, COUNTIF(SelectedPrecincts[Batch Name],SamplingData[[#This Row],[Batch by Type (p)]]), 0)</f>
        <v>0</v>
      </c>
    </row>
    <row r="212" spans="1:36" ht="15" customHeight="1" x14ac:dyDescent="0.35">
      <c r="A212" s="98" t="s">
        <v>423</v>
      </c>
      <c r="B212" s="98">
        <v>101</v>
      </c>
      <c r="C212" s="98">
        <v>16</v>
      </c>
      <c r="D212" s="93">
        <v>8</v>
      </c>
      <c r="E212" s="93"/>
      <c r="F212" s="93"/>
      <c r="G212" s="97"/>
      <c r="H212" s="97"/>
      <c r="I212" s="93"/>
      <c r="J212" s="93"/>
      <c r="K212" s="93"/>
      <c r="L212" s="93"/>
      <c r="M212" s="93"/>
      <c r="N212" s="98">
        <v>0</v>
      </c>
      <c r="O212" s="98">
        <v>0</v>
      </c>
      <c r="P212" s="99">
        <f>SUM(SamplingData[[#This Row],[Winning Candidate]:[Under Votes]])</f>
        <v>125</v>
      </c>
      <c r="Q212" s="100">
        <f>IF(AND(SamplingData[[#This Row],[Total]]&lt;&gt; 0, NOT(ISBLANK(SamplingData[[#This Row],[Losing Candidate]]))),(SamplingData[[#This Row],[Total]]+SamplingData[[#This Row],[Winning Candidate]]-SamplingData[[#This Row],[Losing Candidate]])/(SamplingData[[#Totals],[Winning Candidate]]-SamplingData[[#Totals],[Losing Candidate]]), 0)</f>
        <v>1.3273497250489855E-2</v>
      </c>
      <c r="R212" s="100">
        <f>IF(AND(SamplingData[[#This Row],[Total]]&lt;&gt; 0, NOT(ISBLANK(SamplingData[[#This Row],[Candidate 3]]))),(SamplingData[[#This Row],[Total]]+SamplingData[[#This Row],[Winning Candidate]]-SamplingData[[#This Row],[Candidate 3]])/(SamplingData[[#Totals],[Winning Candidate]]-SamplingData[[#Totals],[Candidate 3]]), 0)</f>
        <v>1.2305260781214722E-2</v>
      </c>
      <c r="S212" s="100">
        <f>IF(AND(SamplingData[[#This Row],[Total]]&lt;&gt; 0, NOT(ISBLANK(SamplingData[[#This Row],[Candidate 4]]))),(SamplingData[[#This Row],[Total]]+SamplingData[[#This Row],[Winning Candidate]]-SamplingData[[#This Row],[Candidate 4]])/(SamplingData[[#Totals],[Winning Candidate]]-SamplingData[[#Totals],[Candidate 4]]), 0)</f>
        <v>0</v>
      </c>
      <c r="T212" s="100">
        <f>IF(AND(SamplingData[[#This Row],[Total]]&lt;&gt; 0, NOT(ISBLANK(SamplingData[[#This Row],[Candidate 5]]))),(SamplingData[[#This Row],[Total]]+SamplingData[[#This Row],[Winning Candidate]]-SamplingData[[#This Row],[Candidate 5]])/(SamplingData[[#Totals],[Winning Candidate]]-SamplingData[[#Totals],[Candidate 5]]), 0)</f>
        <v>0</v>
      </c>
      <c r="U212" s="100">
        <f>IF(AND(SamplingData[[#This Row],[Total]]&lt;&gt; 0, NOT(ISBLANK(SamplingData[[#This Row],[Candidate 6]]))),(SamplingData[[#This Row],[Total]]+SamplingData[[#This Row],[Losing Candidate]]-SamplingData[[#This Row],[Candidate 6]])/(SamplingData[[#Totals],[Winning Candidate]]-SamplingData[[#Totals],[Candidate 6]]), 0)</f>
        <v>0</v>
      </c>
      <c r="V212" s="100">
        <f>IF(AND(SamplingData[[#This Row],[Total]]&lt;&gt; 0, NOT(ISBLANK(SamplingData[[#This Row],[Candidate 7]]))),(SamplingData[[#This Row],[Total]]+SamplingData[[#This Row],[Winning Candidate]]-SamplingData[[#This Row],[Candidate 7]])/(SamplingData[[#Totals],[Winning Candidate]]-SamplingData[[#Totals],[Candidate 7]]), 0)</f>
        <v>0</v>
      </c>
      <c r="W212" s="100">
        <f>IF(AND(SamplingData[[#This Row],[Total]]&lt;&gt; 0, NOT(ISBLANK(SamplingData[[#This Row],[Candidate 8]]))),(SamplingData[[#This Row],[Total]]+SamplingData[[#This Row],[Winning Candidate]]-SamplingData[[#This Row],[Candidate 8]])/(SamplingData[[#Totals],[Winning Candidate]]-SamplingData[[#Totals],[Candidate 8]]), 0)</f>
        <v>0</v>
      </c>
      <c r="X2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2" s="100">
        <f>MAX(SamplingData[[#This Row],[Error Bound (up) - Max. possible relative overstatement - Losing Candidate]:[Error Bound (up) - Max. possible relative overstatement - Candidate 12]])</f>
        <v>1.3273497250489855E-2</v>
      </c>
      <c r="AC212" s="100">
        <f>IF(SamplingData[[#This Row],[Max Error Bound (up)]] = 0,0,SamplingData[[#This Row],[Max Error Bound (up)]]/SamplingData[[#Totals],[Max Error Bound (up)]])</f>
        <v>5.3871225356187094E-3</v>
      </c>
      <c r="AD212" s="104">
        <f>SUM($AC$5:AC212)</f>
        <v>0.25676421366164726</v>
      </c>
      <c r="AE212" s="100" t="str" cm="1">
        <f t="array" ref="AE212">IF(SamplingData[[#This Row],[up/U Selection Probability]] = 0, "Zero", TEXT(SamplingData[[#This Row],[Lower Range]], REPT("0",LEN('General Info'!$B$42))) &amp; " - " &amp; TEXT(SamplingData[[#This Row],[Upper Range]], REPT("0",LEN('General Info'!$B$42))))</f>
        <v>25138 - 25675</v>
      </c>
      <c r="AF212" s="100">
        <f>SamplingData[[#This Row],[Upper Range]]-SamplingData[[#This Row],[Span]]</f>
        <v>25137.709112602854</v>
      </c>
      <c r="AG212" s="100">
        <f>IF(ISNUMBER('General Info'!$B$42), ((SamplingData[[#This Row],[up/U Selection Probability]]) * 'General Info'!$B$44) - 1, 0)</f>
        <v>537.71225356187097</v>
      </c>
      <c r="AH212" s="100">
        <f>IF(ISNUMBER('General Info'!$B$42), (SamplingData[[#This Row],[Running (cumulative) sum]] * ('General Info'!$B$42 -'General Info'!$B$43 + 1)) + 'General Info'!$B$43 - 1, 0)</f>
        <v>25675.421366164726</v>
      </c>
      <c r="AI212" s="100" t="str">
        <f>IF(ISERROR(MATCH(SamplingData[[#This Row],[Batch by Type (p)]],SelectedPrecincts[Batch Name], 0)), "", INDEX(SelectedPrecincts[Draw], MATCH(SamplingData[[#This Row],[Batch by Type (p)]],SelectedPrecincts[Batch Name], 0)))</f>
        <v/>
      </c>
      <c r="AJ212" s="101">
        <f>IF(COUNTIF(SelectedPrecincts[Batch Name],SamplingData[[#This Row],[Batch by Type (p)]]) &lt;&gt; 0, COUNTIF(SelectedPrecincts[Batch Name],SamplingData[[#This Row],[Batch by Type (p)]]), 0)</f>
        <v>0</v>
      </c>
    </row>
    <row r="213" spans="1:36" ht="15" customHeight="1" x14ac:dyDescent="0.35">
      <c r="A213" s="98" t="s">
        <v>424</v>
      </c>
      <c r="B213" s="98">
        <v>138</v>
      </c>
      <c r="C213" s="98">
        <v>18</v>
      </c>
      <c r="D213" s="93">
        <v>3</v>
      </c>
      <c r="E213" s="93"/>
      <c r="F213" s="93"/>
      <c r="G213" s="97"/>
      <c r="H213" s="97"/>
      <c r="I213" s="93"/>
      <c r="J213" s="93"/>
      <c r="K213" s="93"/>
      <c r="L213" s="93"/>
      <c r="M213" s="93"/>
      <c r="N213" s="98">
        <v>0</v>
      </c>
      <c r="O213" s="98">
        <v>0</v>
      </c>
      <c r="P213" s="99">
        <f>SUM(SamplingData[[#This Row],[Winning Candidate]:[Under Votes]])</f>
        <v>159</v>
      </c>
      <c r="Q213" s="100">
        <f>IF(AND(SamplingData[[#This Row],[Total]]&lt;&gt; 0, NOT(ISBLANK(SamplingData[[#This Row],[Losing Candidate]]))),(SamplingData[[#This Row],[Total]]+SamplingData[[#This Row],[Winning Candidate]]-SamplingData[[#This Row],[Losing Candidate]])/(SamplingData[[#Totals],[Winning Candidate]]-SamplingData[[#Totals],[Losing Candidate]]), 0)</f>
        <v>1.7634789204222238E-2</v>
      </c>
      <c r="R213" s="100">
        <f>IF(AND(SamplingData[[#This Row],[Total]]&lt;&gt; 0, NOT(ISBLANK(SamplingData[[#This Row],[Candidate 3]]))),(SamplingData[[#This Row],[Total]]+SamplingData[[#This Row],[Winning Candidate]]-SamplingData[[#This Row],[Candidate 3]])/(SamplingData[[#Totals],[Winning Candidate]]-SamplingData[[#Totals],[Candidate 3]]), 0)</f>
        <v>1.6595168209528111E-2</v>
      </c>
      <c r="S213" s="100">
        <f>IF(AND(SamplingData[[#This Row],[Total]]&lt;&gt; 0, NOT(ISBLANK(SamplingData[[#This Row],[Candidate 4]]))),(SamplingData[[#This Row],[Total]]+SamplingData[[#This Row],[Winning Candidate]]-SamplingData[[#This Row],[Candidate 4]])/(SamplingData[[#Totals],[Winning Candidate]]-SamplingData[[#Totals],[Candidate 4]]), 0)</f>
        <v>0</v>
      </c>
      <c r="T213" s="100">
        <f>IF(AND(SamplingData[[#This Row],[Total]]&lt;&gt; 0, NOT(ISBLANK(SamplingData[[#This Row],[Candidate 5]]))),(SamplingData[[#This Row],[Total]]+SamplingData[[#This Row],[Winning Candidate]]-SamplingData[[#This Row],[Candidate 5]])/(SamplingData[[#Totals],[Winning Candidate]]-SamplingData[[#Totals],[Candidate 5]]), 0)</f>
        <v>0</v>
      </c>
      <c r="U213" s="100">
        <f>IF(AND(SamplingData[[#This Row],[Total]]&lt;&gt; 0, NOT(ISBLANK(SamplingData[[#This Row],[Candidate 6]]))),(SamplingData[[#This Row],[Total]]+SamplingData[[#This Row],[Losing Candidate]]-SamplingData[[#This Row],[Candidate 6]])/(SamplingData[[#Totals],[Winning Candidate]]-SamplingData[[#Totals],[Candidate 6]]), 0)</f>
        <v>0</v>
      </c>
      <c r="V213" s="100">
        <f>IF(AND(SamplingData[[#This Row],[Total]]&lt;&gt; 0, NOT(ISBLANK(SamplingData[[#This Row],[Candidate 7]]))),(SamplingData[[#This Row],[Total]]+SamplingData[[#This Row],[Winning Candidate]]-SamplingData[[#This Row],[Candidate 7]])/(SamplingData[[#Totals],[Winning Candidate]]-SamplingData[[#Totals],[Candidate 7]]), 0)</f>
        <v>0</v>
      </c>
      <c r="W213" s="100">
        <f>IF(AND(SamplingData[[#This Row],[Total]]&lt;&gt; 0, NOT(ISBLANK(SamplingData[[#This Row],[Candidate 8]]))),(SamplingData[[#This Row],[Total]]+SamplingData[[#This Row],[Winning Candidate]]-SamplingData[[#This Row],[Candidate 8]])/(SamplingData[[#Totals],[Winning Candidate]]-SamplingData[[#Totals],[Candidate 8]]), 0)</f>
        <v>0</v>
      </c>
      <c r="X2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3" s="100">
        <f>MAX(SamplingData[[#This Row],[Error Bound (up) - Max. possible relative overstatement - Losing Candidate]:[Error Bound (up) - Max. possible relative overstatement - Candidate 12]])</f>
        <v>1.7634789204222238E-2</v>
      </c>
      <c r="AC213" s="100">
        <f>IF(SamplingData[[#This Row],[Max Error Bound (up)]] = 0,0,SamplingData[[#This Row],[Max Error Bound (up)]]/SamplingData[[#Totals],[Max Error Bound (up)]])</f>
        <v>7.157177083036286E-3</v>
      </c>
      <c r="AD213" s="104">
        <f>SUM($AC$5:AC213)</f>
        <v>0.26392139074468352</v>
      </c>
      <c r="AE213" s="100" t="str" cm="1">
        <f t="array" ref="AE213">IF(SamplingData[[#This Row],[up/U Selection Probability]] = 0, "Zero", TEXT(SamplingData[[#This Row],[Lower Range]], REPT("0",LEN('General Info'!$B$42))) &amp; " - " &amp; TEXT(SamplingData[[#This Row],[Upper Range]], REPT("0",LEN('General Info'!$B$42))))</f>
        <v>25676 - 26391</v>
      </c>
      <c r="AF213" s="100">
        <f>SamplingData[[#This Row],[Upper Range]]-SamplingData[[#This Row],[Span]]</f>
        <v>25676.421366164723</v>
      </c>
      <c r="AG213" s="100">
        <f>IF(ISNUMBER('General Info'!$B$42), ((SamplingData[[#This Row],[up/U Selection Probability]]) * 'General Info'!$B$44) - 1, 0)</f>
        <v>714.71770830362857</v>
      </c>
      <c r="AH213" s="100">
        <f>IF(ISNUMBER('General Info'!$B$42), (SamplingData[[#This Row],[Running (cumulative) sum]] * ('General Info'!$B$42 -'General Info'!$B$43 + 1)) + 'General Info'!$B$43 - 1, 0)</f>
        <v>26391.139074468352</v>
      </c>
      <c r="AI213" s="100" t="str">
        <f>IF(ISERROR(MATCH(SamplingData[[#This Row],[Batch by Type (p)]],SelectedPrecincts[Batch Name], 0)), "", INDEX(SelectedPrecincts[Draw], MATCH(SamplingData[[#This Row],[Batch by Type (p)]],SelectedPrecincts[Batch Name], 0)))</f>
        <v/>
      </c>
      <c r="AJ213" s="101">
        <f>IF(COUNTIF(SelectedPrecincts[Batch Name],SamplingData[[#This Row],[Batch by Type (p)]]) &lt;&gt; 0, COUNTIF(SelectedPrecincts[Batch Name],SamplingData[[#This Row],[Batch by Type (p)]]), 0)</f>
        <v>0</v>
      </c>
    </row>
    <row r="214" spans="1:36" ht="15" customHeight="1" x14ac:dyDescent="0.35">
      <c r="A214" s="98" t="s">
        <v>425</v>
      </c>
      <c r="B214" s="98">
        <v>67</v>
      </c>
      <c r="C214" s="98">
        <v>26</v>
      </c>
      <c r="D214" s="93">
        <v>8</v>
      </c>
      <c r="E214" s="93"/>
      <c r="F214" s="93"/>
      <c r="G214" s="97"/>
      <c r="H214" s="97"/>
      <c r="I214" s="93"/>
      <c r="J214" s="93"/>
      <c r="K214" s="93"/>
      <c r="L214" s="93"/>
      <c r="M214" s="93"/>
      <c r="N214" s="98">
        <v>1</v>
      </c>
      <c r="O214" s="98">
        <v>0</v>
      </c>
      <c r="P214" s="99">
        <f>SUM(SamplingData[[#This Row],[Winning Candidate]:[Under Votes]])</f>
        <v>102</v>
      </c>
      <c r="Q214" s="100">
        <f>IF(AND(SamplingData[[#This Row],[Total]]&lt;&gt; 0, NOT(ISBLANK(SamplingData[[#This Row],[Losing Candidate]]))),(SamplingData[[#This Row],[Total]]+SamplingData[[#This Row],[Winning Candidate]]-SamplingData[[#This Row],[Losing Candidate]])/(SamplingData[[#Totals],[Winning Candidate]]-SamplingData[[#Totals],[Losing Candidate]]), 0)</f>
        <v>9.0386195562859491E-3</v>
      </c>
      <c r="R214" s="100">
        <f>IF(AND(SamplingData[[#This Row],[Total]]&lt;&gt; 0, NOT(ISBLANK(SamplingData[[#This Row],[Candidate 3]]))),(SamplingData[[#This Row],[Total]]+SamplingData[[#This Row],[Winning Candidate]]-SamplingData[[#This Row],[Candidate 3]])/(SamplingData[[#Totals],[Winning Candidate]]-SamplingData[[#Totals],[Candidate 3]]), 0)</f>
        <v>9.0878302099796793E-3</v>
      </c>
      <c r="S214" s="100">
        <f>IF(AND(SamplingData[[#This Row],[Total]]&lt;&gt; 0, NOT(ISBLANK(SamplingData[[#This Row],[Candidate 4]]))),(SamplingData[[#This Row],[Total]]+SamplingData[[#This Row],[Winning Candidate]]-SamplingData[[#This Row],[Candidate 4]])/(SamplingData[[#Totals],[Winning Candidate]]-SamplingData[[#Totals],[Candidate 4]]), 0)</f>
        <v>0</v>
      </c>
      <c r="T214" s="100">
        <f>IF(AND(SamplingData[[#This Row],[Total]]&lt;&gt; 0, NOT(ISBLANK(SamplingData[[#This Row],[Candidate 5]]))),(SamplingData[[#This Row],[Total]]+SamplingData[[#This Row],[Winning Candidate]]-SamplingData[[#This Row],[Candidate 5]])/(SamplingData[[#Totals],[Winning Candidate]]-SamplingData[[#Totals],[Candidate 5]]), 0)</f>
        <v>0</v>
      </c>
      <c r="U214" s="100">
        <f>IF(AND(SamplingData[[#This Row],[Total]]&lt;&gt; 0, NOT(ISBLANK(SamplingData[[#This Row],[Candidate 6]]))),(SamplingData[[#This Row],[Total]]+SamplingData[[#This Row],[Losing Candidate]]-SamplingData[[#This Row],[Candidate 6]])/(SamplingData[[#Totals],[Winning Candidate]]-SamplingData[[#Totals],[Candidate 6]]), 0)</f>
        <v>0</v>
      </c>
      <c r="V214" s="100">
        <f>IF(AND(SamplingData[[#This Row],[Total]]&lt;&gt; 0, NOT(ISBLANK(SamplingData[[#This Row],[Candidate 7]]))),(SamplingData[[#This Row],[Total]]+SamplingData[[#This Row],[Winning Candidate]]-SamplingData[[#This Row],[Candidate 7]])/(SamplingData[[#Totals],[Winning Candidate]]-SamplingData[[#Totals],[Candidate 7]]), 0)</f>
        <v>0</v>
      </c>
      <c r="W214" s="100">
        <f>IF(AND(SamplingData[[#This Row],[Total]]&lt;&gt; 0, NOT(ISBLANK(SamplingData[[#This Row],[Candidate 8]]))),(SamplingData[[#This Row],[Total]]+SamplingData[[#This Row],[Winning Candidate]]-SamplingData[[#This Row],[Candidate 8]])/(SamplingData[[#Totals],[Winning Candidate]]-SamplingData[[#Totals],[Candidate 8]]), 0)</f>
        <v>0</v>
      </c>
      <c r="X2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4" s="100">
        <f>MAX(SamplingData[[#This Row],[Error Bound (up) - Max. possible relative overstatement - Losing Candidate]:[Error Bound (up) - Max. possible relative overstatement - Candidate 12]])</f>
        <v>9.0878302099796793E-3</v>
      </c>
      <c r="AC214" s="100">
        <f>IF(SamplingData[[#This Row],[Max Error Bound (up)]] = 0,0,SamplingData[[#This Row],[Max Error Bound (up)]]/SamplingData[[#Totals],[Max Error Bound (up)]])</f>
        <v>3.6883463340643919E-3</v>
      </c>
      <c r="AD214" s="104">
        <f>SUM($AC$5:AC214)</f>
        <v>0.26760973707874791</v>
      </c>
      <c r="AE214" s="100" t="str" cm="1">
        <f t="array" ref="AE214">IF(SamplingData[[#This Row],[up/U Selection Probability]] = 0, "Zero", TEXT(SamplingData[[#This Row],[Lower Range]], REPT("0",LEN('General Info'!$B$42))) &amp; " - " &amp; TEXT(SamplingData[[#This Row],[Upper Range]], REPT("0",LEN('General Info'!$B$42))))</f>
        <v>26392 - 26760</v>
      </c>
      <c r="AF214" s="100">
        <f>SamplingData[[#This Row],[Upper Range]]-SamplingData[[#This Row],[Span]]</f>
        <v>26392.139074468349</v>
      </c>
      <c r="AG214" s="100">
        <f>IF(ISNUMBER('General Info'!$B$42), ((SamplingData[[#This Row],[up/U Selection Probability]]) * 'General Info'!$B$44) - 1, 0)</f>
        <v>367.8346334064392</v>
      </c>
      <c r="AH214" s="100">
        <f>IF(ISNUMBER('General Info'!$B$42), (SamplingData[[#This Row],[Running (cumulative) sum]] * ('General Info'!$B$42 -'General Info'!$B$43 + 1)) + 'General Info'!$B$43 - 1, 0)</f>
        <v>26759.973707874789</v>
      </c>
      <c r="AI214" s="100" t="str">
        <f>IF(ISERROR(MATCH(SamplingData[[#This Row],[Batch by Type (p)]],SelectedPrecincts[Batch Name], 0)), "", INDEX(SelectedPrecincts[Draw], MATCH(SamplingData[[#This Row],[Batch by Type (p)]],SelectedPrecincts[Batch Name], 0)))</f>
        <v/>
      </c>
      <c r="AJ214" s="101">
        <f>IF(COUNTIF(SelectedPrecincts[Batch Name],SamplingData[[#This Row],[Batch by Type (p)]]) &lt;&gt; 0, COUNTIF(SelectedPrecincts[Batch Name],SamplingData[[#This Row],[Batch by Type (p)]]), 0)</f>
        <v>0</v>
      </c>
    </row>
    <row r="215" spans="1:36" ht="15" customHeight="1" x14ac:dyDescent="0.35">
      <c r="A215" s="98" t="s">
        <v>426</v>
      </c>
      <c r="B215" s="98">
        <v>60</v>
      </c>
      <c r="C215" s="98">
        <v>8</v>
      </c>
      <c r="D215" s="93">
        <v>2</v>
      </c>
      <c r="E215" s="93"/>
      <c r="F215" s="93"/>
      <c r="G215" s="97"/>
      <c r="H215" s="97"/>
      <c r="I215" s="93"/>
      <c r="J215" s="93"/>
      <c r="K215" s="93"/>
      <c r="L215" s="93"/>
      <c r="M215" s="93"/>
      <c r="N215" s="98">
        <v>0</v>
      </c>
      <c r="O215" s="98">
        <v>0</v>
      </c>
      <c r="P215" s="99">
        <f>SUM(SamplingData[[#This Row],[Winning Candidate]:[Under Votes]])</f>
        <v>70</v>
      </c>
      <c r="Q215" s="100">
        <f>IF(AND(SamplingData[[#This Row],[Total]]&lt;&gt; 0, NOT(ISBLANK(SamplingData[[#This Row],[Losing Candidate]]))),(SamplingData[[#This Row],[Total]]+SamplingData[[#This Row],[Winning Candidate]]-SamplingData[[#This Row],[Losing Candidate]])/(SamplingData[[#Totals],[Winning Candidate]]-SamplingData[[#Totals],[Losing Candidate]]), 0)</f>
        <v>7.7112698312369636E-3</v>
      </c>
      <c r="R215" s="100">
        <f>IF(AND(SamplingData[[#This Row],[Total]]&lt;&gt; 0, NOT(ISBLANK(SamplingData[[#This Row],[Candidate 3]]))),(SamplingData[[#This Row],[Total]]+SamplingData[[#This Row],[Winning Candidate]]-SamplingData[[#This Row],[Candidate 3]])/(SamplingData[[#Totals],[Winning Candidate]]-SamplingData[[#Totals],[Candidate 3]]), 0)</f>
        <v>7.2251072476857076E-3</v>
      </c>
      <c r="S215" s="100">
        <f>IF(AND(SamplingData[[#This Row],[Total]]&lt;&gt; 0, NOT(ISBLANK(SamplingData[[#This Row],[Candidate 4]]))),(SamplingData[[#This Row],[Total]]+SamplingData[[#This Row],[Winning Candidate]]-SamplingData[[#This Row],[Candidate 4]])/(SamplingData[[#Totals],[Winning Candidate]]-SamplingData[[#Totals],[Candidate 4]]), 0)</f>
        <v>0</v>
      </c>
      <c r="T215" s="100">
        <f>IF(AND(SamplingData[[#This Row],[Total]]&lt;&gt; 0, NOT(ISBLANK(SamplingData[[#This Row],[Candidate 5]]))),(SamplingData[[#This Row],[Total]]+SamplingData[[#This Row],[Winning Candidate]]-SamplingData[[#This Row],[Candidate 5]])/(SamplingData[[#Totals],[Winning Candidate]]-SamplingData[[#Totals],[Candidate 5]]), 0)</f>
        <v>0</v>
      </c>
      <c r="U215" s="100">
        <f>IF(AND(SamplingData[[#This Row],[Total]]&lt;&gt; 0, NOT(ISBLANK(SamplingData[[#This Row],[Candidate 6]]))),(SamplingData[[#This Row],[Total]]+SamplingData[[#This Row],[Losing Candidate]]-SamplingData[[#This Row],[Candidate 6]])/(SamplingData[[#Totals],[Winning Candidate]]-SamplingData[[#Totals],[Candidate 6]]), 0)</f>
        <v>0</v>
      </c>
      <c r="V215" s="100">
        <f>IF(AND(SamplingData[[#This Row],[Total]]&lt;&gt; 0, NOT(ISBLANK(SamplingData[[#This Row],[Candidate 7]]))),(SamplingData[[#This Row],[Total]]+SamplingData[[#This Row],[Winning Candidate]]-SamplingData[[#This Row],[Candidate 7]])/(SamplingData[[#Totals],[Winning Candidate]]-SamplingData[[#Totals],[Candidate 7]]), 0)</f>
        <v>0</v>
      </c>
      <c r="W215" s="100">
        <f>IF(AND(SamplingData[[#This Row],[Total]]&lt;&gt; 0, NOT(ISBLANK(SamplingData[[#This Row],[Candidate 8]]))),(SamplingData[[#This Row],[Total]]+SamplingData[[#This Row],[Winning Candidate]]-SamplingData[[#This Row],[Candidate 8]])/(SamplingData[[#Totals],[Winning Candidate]]-SamplingData[[#Totals],[Candidate 8]]), 0)</f>
        <v>0</v>
      </c>
      <c r="X2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5" s="100">
        <f>MAX(SamplingData[[#This Row],[Error Bound (up) - Max. possible relative overstatement - Losing Candidate]:[Error Bound (up) - Max. possible relative overstatement - Candidate 12]])</f>
        <v>7.7112698312369636E-3</v>
      </c>
      <c r="AC215" s="100">
        <f>IF(SamplingData[[#This Row],[Max Error Bound (up)]] = 0,0,SamplingData[[#This Row],[Max Error Bound (up)]]/SamplingData[[#Totals],[Max Error Bound (up)]])</f>
        <v>3.129661663549917E-3</v>
      </c>
      <c r="AD215" s="104">
        <f>SUM($AC$5:AC215)</f>
        <v>0.27073939874229785</v>
      </c>
      <c r="AE215" s="100" t="str" cm="1">
        <f t="array" ref="AE215">IF(SamplingData[[#This Row],[up/U Selection Probability]] = 0, "Zero", TEXT(SamplingData[[#This Row],[Lower Range]], REPT("0",LEN('General Info'!$B$42))) &amp; " - " &amp; TEXT(SamplingData[[#This Row],[Upper Range]], REPT("0",LEN('General Info'!$B$42))))</f>
        <v>26761 - 27073</v>
      </c>
      <c r="AF215" s="100">
        <f>SamplingData[[#This Row],[Upper Range]]-SamplingData[[#This Row],[Span]]</f>
        <v>26760.973707874793</v>
      </c>
      <c r="AG215" s="100">
        <f>IF(ISNUMBER('General Info'!$B$42), ((SamplingData[[#This Row],[up/U Selection Probability]]) * 'General Info'!$B$44) - 1, 0)</f>
        <v>311.96616635499169</v>
      </c>
      <c r="AH215" s="100">
        <f>IF(ISNUMBER('General Info'!$B$42), (SamplingData[[#This Row],[Running (cumulative) sum]] * ('General Info'!$B$42 -'General Info'!$B$43 + 1)) + 'General Info'!$B$43 - 1, 0)</f>
        <v>27072.939874229785</v>
      </c>
      <c r="AI215" s="100" t="str">
        <f>IF(ISERROR(MATCH(SamplingData[[#This Row],[Batch by Type (p)]],SelectedPrecincts[Batch Name], 0)), "", INDEX(SelectedPrecincts[Draw], MATCH(SamplingData[[#This Row],[Batch by Type (p)]],SelectedPrecincts[Batch Name], 0)))</f>
        <v/>
      </c>
      <c r="AJ215" s="101">
        <f>IF(COUNTIF(SelectedPrecincts[Batch Name],SamplingData[[#This Row],[Batch by Type (p)]]) &lt;&gt; 0, COUNTIF(SelectedPrecincts[Batch Name],SamplingData[[#This Row],[Batch by Type (p)]]), 0)</f>
        <v>0</v>
      </c>
    </row>
    <row r="216" spans="1:36" ht="15" customHeight="1" x14ac:dyDescent="0.35">
      <c r="A216" s="98" t="s">
        <v>427</v>
      </c>
      <c r="B216" s="98">
        <v>103</v>
      </c>
      <c r="C216" s="98">
        <v>16</v>
      </c>
      <c r="D216" s="93">
        <v>6</v>
      </c>
      <c r="E216" s="93"/>
      <c r="F216" s="93"/>
      <c r="G216" s="97"/>
      <c r="H216" s="97"/>
      <c r="I216" s="93"/>
      <c r="J216" s="93"/>
      <c r="K216" s="93"/>
      <c r="L216" s="93"/>
      <c r="M216" s="93"/>
      <c r="N216" s="98">
        <v>0</v>
      </c>
      <c r="O216" s="98">
        <v>0</v>
      </c>
      <c r="P216" s="99">
        <f>SUM(SamplingData[[#This Row],[Winning Candidate]:[Under Votes]])</f>
        <v>125</v>
      </c>
      <c r="Q216" s="100">
        <f>IF(AND(SamplingData[[#This Row],[Total]]&lt;&gt; 0, NOT(ISBLANK(SamplingData[[#This Row],[Losing Candidate]]))),(SamplingData[[#This Row],[Total]]+SamplingData[[#This Row],[Winning Candidate]]-SamplingData[[#This Row],[Losing Candidate]])/(SamplingData[[#Totals],[Winning Candidate]]-SamplingData[[#Totals],[Losing Candidate]]), 0)</f>
        <v>1.339991151001833E-2</v>
      </c>
      <c r="R216" s="100">
        <f>IF(AND(SamplingData[[#This Row],[Total]]&lt;&gt; 0, NOT(ISBLANK(SamplingData[[#This Row],[Candidate 3]]))),(SamplingData[[#This Row],[Total]]+SamplingData[[#This Row],[Winning Candidate]]-SamplingData[[#This Row],[Candidate 3]])/(SamplingData[[#Totals],[Winning Candidate]]-SamplingData[[#Totals],[Candidate 3]]), 0)</f>
        <v>1.25310453827049E-2</v>
      </c>
      <c r="S216" s="100">
        <f>IF(AND(SamplingData[[#This Row],[Total]]&lt;&gt; 0, NOT(ISBLANK(SamplingData[[#This Row],[Candidate 4]]))),(SamplingData[[#This Row],[Total]]+SamplingData[[#This Row],[Winning Candidate]]-SamplingData[[#This Row],[Candidate 4]])/(SamplingData[[#Totals],[Winning Candidate]]-SamplingData[[#Totals],[Candidate 4]]), 0)</f>
        <v>0</v>
      </c>
      <c r="T216" s="100">
        <f>IF(AND(SamplingData[[#This Row],[Total]]&lt;&gt; 0, NOT(ISBLANK(SamplingData[[#This Row],[Candidate 5]]))),(SamplingData[[#This Row],[Total]]+SamplingData[[#This Row],[Winning Candidate]]-SamplingData[[#This Row],[Candidate 5]])/(SamplingData[[#Totals],[Winning Candidate]]-SamplingData[[#Totals],[Candidate 5]]), 0)</f>
        <v>0</v>
      </c>
      <c r="U216" s="100">
        <f>IF(AND(SamplingData[[#This Row],[Total]]&lt;&gt; 0, NOT(ISBLANK(SamplingData[[#This Row],[Candidate 6]]))),(SamplingData[[#This Row],[Total]]+SamplingData[[#This Row],[Losing Candidate]]-SamplingData[[#This Row],[Candidate 6]])/(SamplingData[[#Totals],[Winning Candidate]]-SamplingData[[#Totals],[Candidate 6]]), 0)</f>
        <v>0</v>
      </c>
      <c r="V216" s="100">
        <f>IF(AND(SamplingData[[#This Row],[Total]]&lt;&gt; 0, NOT(ISBLANK(SamplingData[[#This Row],[Candidate 7]]))),(SamplingData[[#This Row],[Total]]+SamplingData[[#This Row],[Winning Candidate]]-SamplingData[[#This Row],[Candidate 7]])/(SamplingData[[#Totals],[Winning Candidate]]-SamplingData[[#Totals],[Candidate 7]]), 0)</f>
        <v>0</v>
      </c>
      <c r="W216" s="100">
        <f>IF(AND(SamplingData[[#This Row],[Total]]&lt;&gt; 0, NOT(ISBLANK(SamplingData[[#This Row],[Candidate 8]]))),(SamplingData[[#This Row],[Total]]+SamplingData[[#This Row],[Winning Candidate]]-SamplingData[[#This Row],[Candidate 8]])/(SamplingData[[#Totals],[Winning Candidate]]-SamplingData[[#Totals],[Candidate 8]]), 0)</f>
        <v>0</v>
      </c>
      <c r="X2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6" s="100">
        <f>MAX(SamplingData[[#This Row],[Error Bound (up) - Max. possible relative overstatement - Losing Candidate]:[Error Bound (up) - Max. possible relative overstatement - Candidate 12]])</f>
        <v>1.339991151001833E-2</v>
      </c>
      <c r="AC216" s="100">
        <f>IF(SamplingData[[#This Row],[Max Error Bound (up)]] = 0,0,SamplingData[[#This Row],[Max Error Bound (up)]]/SamplingData[[#Totals],[Max Error Bound (up)]])</f>
        <v>5.4384284645293641E-3</v>
      </c>
      <c r="AD216" s="104">
        <f>SUM($AC$5:AC216)</f>
        <v>0.27617782720682721</v>
      </c>
      <c r="AE216" s="100" t="str" cm="1">
        <f t="array" ref="AE216">IF(SamplingData[[#This Row],[up/U Selection Probability]] = 0, "Zero", TEXT(SamplingData[[#This Row],[Lower Range]], REPT("0",LEN('General Info'!$B$42))) &amp; " - " &amp; TEXT(SamplingData[[#This Row],[Upper Range]], REPT("0",LEN('General Info'!$B$42))))</f>
        <v>27074 - 27617</v>
      </c>
      <c r="AF216" s="100">
        <f>SamplingData[[#This Row],[Upper Range]]-SamplingData[[#This Row],[Span]]</f>
        <v>27073.939874229785</v>
      </c>
      <c r="AG216" s="100">
        <f>IF(ISNUMBER('General Info'!$B$42), ((SamplingData[[#This Row],[up/U Selection Probability]]) * 'General Info'!$B$44) - 1, 0)</f>
        <v>542.84284645293644</v>
      </c>
      <c r="AH216" s="100">
        <f>IF(ISNUMBER('General Info'!$B$42), (SamplingData[[#This Row],[Running (cumulative) sum]] * ('General Info'!$B$42 -'General Info'!$B$43 + 1)) + 'General Info'!$B$43 - 1, 0)</f>
        <v>27616.782720682721</v>
      </c>
      <c r="AI216" s="100" t="str">
        <f>IF(ISERROR(MATCH(SamplingData[[#This Row],[Batch by Type (p)]],SelectedPrecincts[Batch Name], 0)), "", INDEX(SelectedPrecincts[Draw], MATCH(SamplingData[[#This Row],[Batch by Type (p)]],SelectedPrecincts[Batch Name], 0)))</f>
        <v/>
      </c>
      <c r="AJ216" s="101">
        <f>IF(COUNTIF(SelectedPrecincts[Batch Name],SamplingData[[#This Row],[Batch by Type (p)]]) &lt;&gt; 0, COUNTIF(SelectedPrecincts[Batch Name],SamplingData[[#This Row],[Batch by Type (p)]]), 0)</f>
        <v>0</v>
      </c>
    </row>
    <row r="217" spans="1:36" ht="15" customHeight="1" x14ac:dyDescent="0.35">
      <c r="A217" s="98" t="s">
        <v>428</v>
      </c>
      <c r="B217" s="98">
        <v>103</v>
      </c>
      <c r="C217" s="98">
        <v>26</v>
      </c>
      <c r="D217" s="93">
        <v>7</v>
      </c>
      <c r="E217" s="93"/>
      <c r="F217" s="93"/>
      <c r="G217" s="97"/>
      <c r="H217" s="97"/>
      <c r="I217" s="93"/>
      <c r="J217" s="93"/>
      <c r="K217" s="93"/>
      <c r="L217" s="93"/>
      <c r="M217" s="93"/>
      <c r="N217" s="98">
        <v>0</v>
      </c>
      <c r="O217" s="98">
        <v>2</v>
      </c>
      <c r="P217" s="99">
        <f>SUM(SamplingData[[#This Row],[Winning Candidate]:[Under Votes]])</f>
        <v>138</v>
      </c>
      <c r="Q217" s="100">
        <f>IF(AND(SamplingData[[#This Row],[Total]]&lt;&gt; 0, NOT(ISBLANK(SamplingData[[#This Row],[Losing Candidate]]))),(SamplingData[[#This Row],[Total]]+SamplingData[[#This Row],[Winning Candidate]]-SamplingData[[#This Row],[Losing Candidate]])/(SamplingData[[#Totals],[Winning Candidate]]-SamplingData[[#Totals],[Losing Candidate]]), 0)</f>
        <v>1.3589532899311042E-2</v>
      </c>
      <c r="R217" s="100">
        <f>IF(AND(SamplingData[[#This Row],[Total]]&lt;&gt; 0, NOT(ISBLANK(SamplingData[[#This Row],[Candidate 3]]))),(SamplingData[[#This Row],[Total]]+SamplingData[[#This Row],[Winning Candidate]]-SamplingData[[#This Row],[Candidate 3]])/(SamplingData[[#Totals],[Winning Candidate]]-SamplingData[[#Totals],[Candidate 3]]), 0)</f>
        <v>1.3208399187175434E-2</v>
      </c>
      <c r="S217" s="100">
        <f>IF(AND(SamplingData[[#This Row],[Total]]&lt;&gt; 0, NOT(ISBLANK(SamplingData[[#This Row],[Candidate 4]]))),(SamplingData[[#This Row],[Total]]+SamplingData[[#This Row],[Winning Candidate]]-SamplingData[[#This Row],[Candidate 4]])/(SamplingData[[#Totals],[Winning Candidate]]-SamplingData[[#Totals],[Candidate 4]]), 0)</f>
        <v>0</v>
      </c>
      <c r="T217" s="100">
        <f>IF(AND(SamplingData[[#This Row],[Total]]&lt;&gt; 0, NOT(ISBLANK(SamplingData[[#This Row],[Candidate 5]]))),(SamplingData[[#This Row],[Total]]+SamplingData[[#This Row],[Winning Candidate]]-SamplingData[[#This Row],[Candidate 5]])/(SamplingData[[#Totals],[Winning Candidate]]-SamplingData[[#Totals],[Candidate 5]]), 0)</f>
        <v>0</v>
      </c>
      <c r="U217" s="100">
        <f>IF(AND(SamplingData[[#This Row],[Total]]&lt;&gt; 0, NOT(ISBLANK(SamplingData[[#This Row],[Candidate 6]]))),(SamplingData[[#This Row],[Total]]+SamplingData[[#This Row],[Losing Candidate]]-SamplingData[[#This Row],[Candidate 6]])/(SamplingData[[#Totals],[Winning Candidate]]-SamplingData[[#Totals],[Candidate 6]]), 0)</f>
        <v>0</v>
      </c>
      <c r="V217" s="100">
        <f>IF(AND(SamplingData[[#This Row],[Total]]&lt;&gt; 0, NOT(ISBLANK(SamplingData[[#This Row],[Candidate 7]]))),(SamplingData[[#This Row],[Total]]+SamplingData[[#This Row],[Winning Candidate]]-SamplingData[[#This Row],[Candidate 7]])/(SamplingData[[#Totals],[Winning Candidate]]-SamplingData[[#Totals],[Candidate 7]]), 0)</f>
        <v>0</v>
      </c>
      <c r="W217" s="100">
        <f>IF(AND(SamplingData[[#This Row],[Total]]&lt;&gt; 0, NOT(ISBLANK(SamplingData[[#This Row],[Candidate 8]]))),(SamplingData[[#This Row],[Total]]+SamplingData[[#This Row],[Winning Candidate]]-SamplingData[[#This Row],[Candidate 8]])/(SamplingData[[#Totals],[Winning Candidate]]-SamplingData[[#Totals],[Candidate 8]]), 0)</f>
        <v>0</v>
      </c>
      <c r="X2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7" s="100">
        <f>MAX(SamplingData[[#This Row],[Error Bound (up) - Max. possible relative overstatement - Losing Candidate]:[Error Bound (up) - Max. possible relative overstatement - Candidate 12]])</f>
        <v>1.3589532899311042E-2</v>
      </c>
      <c r="AC217" s="100">
        <f>IF(SamplingData[[#This Row],[Max Error Bound (up)]] = 0,0,SamplingData[[#This Row],[Max Error Bound (up)]]/SamplingData[[#Totals],[Max Error Bound (up)]])</f>
        <v>5.5153873578953454E-3</v>
      </c>
      <c r="AD217" s="104">
        <f>SUM($AC$5:AC217)</f>
        <v>0.28169321456472257</v>
      </c>
      <c r="AE217" s="100" t="str" cm="1">
        <f t="array" ref="AE217">IF(SamplingData[[#This Row],[up/U Selection Probability]] = 0, "Zero", TEXT(SamplingData[[#This Row],[Lower Range]], REPT("0",LEN('General Info'!$B$42))) &amp; " - " &amp; TEXT(SamplingData[[#This Row],[Upper Range]], REPT("0",LEN('General Info'!$B$42))))</f>
        <v>27618 - 28168</v>
      </c>
      <c r="AF217" s="100">
        <f>SamplingData[[#This Row],[Upper Range]]-SamplingData[[#This Row],[Span]]</f>
        <v>27617.782720682724</v>
      </c>
      <c r="AG217" s="100">
        <f>IF(ISNUMBER('General Info'!$B$42), ((SamplingData[[#This Row],[up/U Selection Probability]]) * 'General Info'!$B$44) - 1, 0)</f>
        <v>550.53873578953448</v>
      </c>
      <c r="AH217" s="100">
        <f>IF(ISNUMBER('General Info'!$B$42), (SamplingData[[#This Row],[Running (cumulative) sum]] * ('General Info'!$B$42 -'General Info'!$B$43 + 1)) + 'General Info'!$B$43 - 1, 0)</f>
        <v>28168.321456472258</v>
      </c>
      <c r="AI217" s="100" t="str">
        <f>IF(ISERROR(MATCH(SamplingData[[#This Row],[Batch by Type (p)]],SelectedPrecincts[Batch Name], 0)), "", INDEX(SelectedPrecincts[Draw], MATCH(SamplingData[[#This Row],[Batch by Type (p)]],SelectedPrecincts[Batch Name], 0)))</f>
        <v/>
      </c>
      <c r="AJ217" s="101">
        <f>IF(COUNTIF(SelectedPrecincts[Batch Name],SamplingData[[#This Row],[Batch by Type (p)]]) &lt;&gt; 0, COUNTIF(SelectedPrecincts[Batch Name],SamplingData[[#This Row],[Batch by Type (p)]]), 0)</f>
        <v>0</v>
      </c>
    </row>
    <row r="218" spans="1:36" ht="15" customHeight="1" x14ac:dyDescent="0.35">
      <c r="A218" s="98" t="s">
        <v>429</v>
      </c>
      <c r="B218" s="98">
        <v>124</v>
      </c>
      <c r="C218" s="98">
        <v>20</v>
      </c>
      <c r="D218" s="93">
        <v>13</v>
      </c>
      <c r="E218" s="93"/>
      <c r="F218" s="93"/>
      <c r="G218" s="97"/>
      <c r="H218" s="97"/>
      <c r="I218" s="93"/>
      <c r="J218" s="93"/>
      <c r="K218" s="93"/>
      <c r="L218" s="93"/>
      <c r="M218" s="93"/>
      <c r="N218" s="98">
        <v>0</v>
      </c>
      <c r="O218" s="98">
        <v>1</v>
      </c>
      <c r="P218" s="99">
        <f>SUM(SamplingData[[#This Row],[Winning Candidate]:[Under Votes]])</f>
        <v>158</v>
      </c>
      <c r="Q218" s="100">
        <f>IF(AND(SamplingData[[#This Row],[Total]]&lt;&gt; 0, NOT(ISBLANK(SamplingData[[#This Row],[Losing Candidate]]))),(SamplingData[[#This Row],[Total]]+SamplingData[[#This Row],[Winning Candidate]]-SamplingData[[#This Row],[Losing Candidate]])/(SamplingData[[#Totals],[Winning Candidate]]-SamplingData[[#Totals],[Losing Candidate]]), 0)</f>
        <v>1.65602679982302E-2</v>
      </c>
      <c r="R218" s="100">
        <f>IF(AND(SamplingData[[#This Row],[Total]]&lt;&gt; 0, NOT(ISBLANK(SamplingData[[#This Row],[Candidate 3]]))),(SamplingData[[#This Row],[Total]]+SamplingData[[#This Row],[Winning Candidate]]-SamplingData[[#This Row],[Candidate 3]])/(SamplingData[[#Totals],[Winning Candidate]]-SamplingData[[#Totals],[Candidate 3]]), 0)</f>
        <v>1.5184014450214495E-2</v>
      </c>
      <c r="S218" s="100">
        <f>IF(AND(SamplingData[[#This Row],[Total]]&lt;&gt; 0, NOT(ISBLANK(SamplingData[[#This Row],[Candidate 4]]))),(SamplingData[[#This Row],[Total]]+SamplingData[[#This Row],[Winning Candidate]]-SamplingData[[#This Row],[Candidate 4]])/(SamplingData[[#Totals],[Winning Candidate]]-SamplingData[[#Totals],[Candidate 4]]), 0)</f>
        <v>0</v>
      </c>
      <c r="T218" s="100">
        <f>IF(AND(SamplingData[[#This Row],[Total]]&lt;&gt; 0, NOT(ISBLANK(SamplingData[[#This Row],[Candidate 5]]))),(SamplingData[[#This Row],[Total]]+SamplingData[[#This Row],[Winning Candidate]]-SamplingData[[#This Row],[Candidate 5]])/(SamplingData[[#Totals],[Winning Candidate]]-SamplingData[[#Totals],[Candidate 5]]), 0)</f>
        <v>0</v>
      </c>
      <c r="U218" s="100">
        <f>IF(AND(SamplingData[[#This Row],[Total]]&lt;&gt; 0, NOT(ISBLANK(SamplingData[[#This Row],[Candidate 6]]))),(SamplingData[[#This Row],[Total]]+SamplingData[[#This Row],[Losing Candidate]]-SamplingData[[#This Row],[Candidate 6]])/(SamplingData[[#Totals],[Winning Candidate]]-SamplingData[[#Totals],[Candidate 6]]), 0)</f>
        <v>0</v>
      </c>
      <c r="V218" s="100">
        <f>IF(AND(SamplingData[[#This Row],[Total]]&lt;&gt; 0, NOT(ISBLANK(SamplingData[[#This Row],[Candidate 7]]))),(SamplingData[[#This Row],[Total]]+SamplingData[[#This Row],[Winning Candidate]]-SamplingData[[#This Row],[Candidate 7]])/(SamplingData[[#Totals],[Winning Candidate]]-SamplingData[[#Totals],[Candidate 7]]), 0)</f>
        <v>0</v>
      </c>
      <c r="W218" s="100">
        <f>IF(AND(SamplingData[[#This Row],[Total]]&lt;&gt; 0, NOT(ISBLANK(SamplingData[[#This Row],[Candidate 8]]))),(SamplingData[[#This Row],[Total]]+SamplingData[[#This Row],[Winning Candidate]]-SamplingData[[#This Row],[Candidate 8]])/(SamplingData[[#Totals],[Winning Candidate]]-SamplingData[[#Totals],[Candidate 8]]), 0)</f>
        <v>0</v>
      </c>
      <c r="X2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8" s="100">
        <f>MAX(SamplingData[[#This Row],[Error Bound (up) - Max. possible relative overstatement - Losing Candidate]:[Error Bound (up) - Max. possible relative overstatement - Candidate 12]])</f>
        <v>1.65602679982302E-2</v>
      </c>
      <c r="AC218" s="100">
        <f>IF(SamplingData[[#This Row],[Max Error Bound (up)]] = 0,0,SamplingData[[#This Row],[Max Error Bound (up)]]/SamplingData[[#Totals],[Max Error Bound (up)]])</f>
        <v>6.7210766872957232E-3</v>
      </c>
      <c r="AD218" s="104">
        <f>SUM($AC$5:AC218)</f>
        <v>0.28841429125201828</v>
      </c>
      <c r="AE218" s="100" t="str" cm="1">
        <f t="array" ref="AE218">IF(SamplingData[[#This Row],[up/U Selection Probability]] = 0, "Zero", TEXT(SamplingData[[#This Row],[Lower Range]], REPT("0",LEN('General Info'!$B$42))) &amp; " - " &amp; TEXT(SamplingData[[#This Row],[Upper Range]], REPT("0",LEN('General Info'!$B$42))))</f>
        <v>28169 - 28840</v>
      </c>
      <c r="AF218" s="100">
        <f>SamplingData[[#This Row],[Upper Range]]-SamplingData[[#This Row],[Span]]</f>
        <v>28169.321456472258</v>
      </c>
      <c r="AG218" s="100">
        <f>IF(ISNUMBER('General Info'!$B$42), ((SamplingData[[#This Row],[up/U Selection Probability]]) * 'General Info'!$B$44) - 1, 0)</f>
        <v>671.10766872957231</v>
      </c>
      <c r="AH218" s="100">
        <f>IF(ISNUMBER('General Info'!$B$42), (SamplingData[[#This Row],[Running (cumulative) sum]] * ('General Info'!$B$42 -'General Info'!$B$43 + 1)) + 'General Info'!$B$43 - 1, 0)</f>
        <v>28840.42912520183</v>
      </c>
      <c r="AI218" s="100" t="str">
        <f>IF(ISERROR(MATCH(SamplingData[[#This Row],[Batch by Type (p)]],SelectedPrecincts[Batch Name], 0)), "", INDEX(SelectedPrecincts[Draw], MATCH(SamplingData[[#This Row],[Batch by Type (p)]],SelectedPrecincts[Batch Name], 0)))</f>
        <v/>
      </c>
      <c r="AJ218" s="101">
        <f>IF(COUNTIF(SelectedPrecincts[Batch Name],SamplingData[[#This Row],[Batch by Type (p)]]) &lt;&gt; 0, COUNTIF(SelectedPrecincts[Batch Name],SamplingData[[#This Row],[Batch by Type (p)]]), 0)</f>
        <v>0</v>
      </c>
    </row>
    <row r="219" spans="1:36" ht="15" customHeight="1" x14ac:dyDescent="0.35">
      <c r="A219" s="98" t="s">
        <v>430</v>
      </c>
      <c r="B219" s="98">
        <v>105</v>
      </c>
      <c r="C219" s="98">
        <v>2</v>
      </c>
      <c r="D219" s="93">
        <v>3</v>
      </c>
      <c r="E219" s="93"/>
      <c r="F219" s="93"/>
      <c r="G219" s="97"/>
      <c r="H219" s="97"/>
      <c r="I219" s="93"/>
      <c r="J219" s="93"/>
      <c r="K219" s="93"/>
      <c r="L219" s="93"/>
      <c r="M219" s="93"/>
      <c r="N219" s="98">
        <v>0</v>
      </c>
      <c r="O219" s="98">
        <v>1</v>
      </c>
      <c r="P219" s="99">
        <f>SUM(SamplingData[[#This Row],[Winning Candidate]:[Under Votes]])</f>
        <v>111</v>
      </c>
      <c r="Q219" s="100">
        <f>IF(AND(SamplingData[[#This Row],[Total]]&lt;&gt; 0, NOT(ISBLANK(SamplingData[[#This Row],[Losing Candidate]]))),(SamplingData[[#This Row],[Total]]+SamplingData[[#This Row],[Winning Candidate]]-SamplingData[[#This Row],[Losing Candidate]])/(SamplingData[[#Totals],[Winning Candidate]]-SamplingData[[#Totals],[Losing Candidate]]), 0)</f>
        <v>1.3526325769546805E-2</v>
      </c>
      <c r="R219" s="100">
        <f>IF(AND(SamplingData[[#This Row],[Total]]&lt;&gt; 0, NOT(ISBLANK(SamplingData[[#This Row],[Candidate 3]]))),(SamplingData[[#This Row],[Total]]+SamplingData[[#This Row],[Winning Candidate]]-SamplingData[[#This Row],[Candidate 3]])/(SamplingData[[#Totals],[Winning Candidate]]-SamplingData[[#Totals],[Candidate 3]]), 0)</f>
        <v>1.2023030029351999E-2</v>
      </c>
      <c r="S219" s="100">
        <f>IF(AND(SamplingData[[#This Row],[Total]]&lt;&gt; 0, NOT(ISBLANK(SamplingData[[#This Row],[Candidate 4]]))),(SamplingData[[#This Row],[Total]]+SamplingData[[#This Row],[Winning Candidate]]-SamplingData[[#This Row],[Candidate 4]])/(SamplingData[[#Totals],[Winning Candidate]]-SamplingData[[#Totals],[Candidate 4]]), 0)</f>
        <v>0</v>
      </c>
      <c r="T219" s="100">
        <f>IF(AND(SamplingData[[#This Row],[Total]]&lt;&gt; 0, NOT(ISBLANK(SamplingData[[#This Row],[Candidate 5]]))),(SamplingData[[#This Row],[Total]]+SamplingData[[#This Row],[Winning Candidate]]-SamplingData[[#This Row],[Candidate 5]])/(SamplingData[[#Totals],[Winning Candidate]]-SamplingData[[#Totals],[Candidate 5]]), 0)</f>
        <v>0</v>
      </c>
      <c r="U219" s="100">
        <f>IF(AND(SamplingData[[#This Row],[Total]]&lt;&gt; 0, NOT(ISBLANK(SamplingData[[#This Row],[Candidate 6]]))),(SamplingData[[#This Row],[Total]]+SamplingData[[#This Row],[Losing Candidate]]-SamplingData[[#This Row],[Candidate 6]])/(SamplingData[[#Totals],[Winning Candidate]]-SamplingData[[#Totals],[Candidate 6]]), 0)</f>
        <v>0</v>
      </c>
      <c r="V219" s="100">
        <f>IF(AND(SamplingData[[#This Row],[Total]]&lt;&gt; 0, NOT(ISBLANK(SamplingData[[#This Row],[Candidate 7]]))),(SamplingData[[#This Row],[Total]]+SamplingData[[#This Row],[Winning Candidate]]-SamplingData[[#This Row],[Candidate 7]])/(SamplingData[[#Totals],[Winning Candidate]]-SamplingData[[#Totals],[Candidate 7]]), 0)</f>
        <v>0</v>
      </c>
      <c r="W219" s="100">
        <f>IF(AND(SamplingData[[#This Row],[Total]]&lt;&gt; 0, NOT(ISBLANK(SamplingData[[#This Row],[Candidate 8]]))),(SamplingData[[#This Row],[Total]]+SamplingData[[#This Row],[Winning Candidate]]-SamplingData[[#This Row],[Candidate 8]])/(SamplingData[[#Totals],[Winning Candidate]]-SamplingData[[#Totals],[Candidate 8]]), 0)</f>
        <v>0</v>
      </c>
      <c r="X2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9" s="100">
        <f>MAX(SamplingData[[#This Row],[Error Bound (up) - Max. possible relative overstatement - Losing Candidate]:[Error Bound (up) - Max. possible relative overstatement - Candidate 12]])</f>
        <v>1.3526325769546805E-2</v>
      </c>
      <c r="AC219" s="100">
        <f>IF(SamplingData[[#This Row],[Max Error Bound (up)]] = 0,0,SamplingData[[#This Row],[Max Error Bound (up)]]/SamplingData[[#Totals],[Max Error Bound (up)]])</f>
        <v>5.4897343934400189E-3</v>
      </c>
      <c r="AD219" s="104">
        <f>SUM($AC$5:AC219)</f>
        <v>0.29390402564545831</v>
      </c>
      <c r="AE219" s="100" t="str" cm="1">
        <f t="array" ref="AE219">IF(SamplingData[[#This Row],[up/U Selection Probability]] = 0, "Zero", TEXT(SamplingData[[#This Row],[Lower Range]], REPT("0",LEN('General Info'!$B$42))) &amp; " - " &amp; TEXT(SamplingData[[#This Row],[Upper Range]], REPT("0",LEN('General Info'!$B$42))))</f>
        <v>28841 - 29389</v>
      </c>
      <c r="AF219" s="100">
        <f>SamplingData[[#This Row],[Upper Range]]-SamplingData[[#This Row],[Span]]</f>
        <v>28841.42912520183</v>
      </c>
      <c r="AG219" s="100">
        <f>IF(ISNUMBER('General Info'!$B$42), ((SamplingData[[#This Row],[up/U Selection Probability]]) * 'General Info'!$B$44) - 1, 0)</f>
        <v>547.97343934400192</v>
      </c>
      <c r="AH219" s="100">
        <f>IF(ISNUMBER('General Info'!$B$42), (SamplingData[[#This Row],[Running (cumulative) sum]] * ('General Info'!$B$42 -'General Info'!$B$43 + 1)) + 'General Info'!$B$43 - 1, 0)</f>
        <v>29389.402564545831</v>
      </c>
      <c r="AI219" s="100" t="str">
        <f>IF(ISERROR(MATCH(SamplingData[[#This Row],[Batch by Type (p)]],SelectedPrecincts[Batch Name], 0)), "", INDEX(SelectedPrecincts[Draw], MATCH(SamplingData[[#This Row],[Batch by Type (p)]],SelectedPrecincts[Batch Name], 0)))</f>
        <v/>
      </c>
      <c r="AJ219" s="101">
        <f>IF(COUNTIF(SelectedPrecincts[Batch Name],SamplingData[[#This Row],[Batch by Type (p)]]) &lt;&gt; 0, COUNTIF(SelectedPrecincts[Batch Name],SamplingData[[#This Row],[Batch by Type (p)]]), 0)</f>
        <v>0</v>
      </c>
    </row>
    <row r="220" spans="1:36" ht="15" customHeight="1" x14ac:dyDescent="0.35">
      <c r="A220" s="98" t="s">
        <v>431</v>
      </c>
      <c r="B220" s="98">
        <v>98</v>
      </c>
      <c r="C220" s="98">
        <v>14</v>
      </c>
      <c r="D220" s="93">
        <v>10</v>
      </c>
      <c r="E220" s="93"/>
      <c r="F220" s="93"/>
      <c r="G220" s="97"/>
      <c r="H220" s="97"/>
      <c r="I220" s="93"/>
      <c r="J220" s="93"/>
      <c r="K220" s="93"/>
      <c r="L220" s="93"/>
      <c r="M220" s="93"/>
      <c r="N220" s="98">
        <v>0</v>
      </c>
      <c r="O220" s="98">
        <v>3</v>
      </c>
      <c r="P220" s="99">
        <f>SUM(SamplingData[[#This Row],[Winning Candidate]:[Under Votes]])</f>
        <v>125</v>
      </c>
      <c r="Q220" s="100">
        <f>IF(AND(SamplingData[[#This Row],[Total]]&lt;&gt; 0, NOT(ISBLANK(SamplingData[[#This Row],[Losing Candidate]]))),(SamplingData[[#This Row],[Total]]+SamplingData[[#This Row],[Winning Candidate]]-SamplingData[[#This Row],[Losing Candidate]])/(SamplingData[[#Totals],[Winning Candidate]]-SamplingData[[#Totals],[Losing Candidate]]), 0)</f>
        <v>1.3210290120725618E-2</v>
      </c>
      <c r="R220" s="100">
        <f>IF(AND(SamplingData[[#This Row],[Total]]&lt;&gt; 0, NOT(ISBLANK(SamplingData[[#This Row],[Candidate 3]]))),(SamplingData[[#This Row],[Total]]+SamplingData[[#This Row],[Winning Candidate]]-SamplingData[[#This Row],[Candidate 3]])/(SamplingData[[#Totals],[Winning Candidate]]-SamplingData[[#Totals],[Candidate 3]]), 0)</f>
        <v>1.2023030029351999E-2</v>
      </c>
      <c r="S220" s="100">
        <f>IF(AND(SamplingData[[#This Row],[Total]]&lt;&gt; 0, NOT(ISBLANK(SamplingData[[#This Row],[Candidate 4]]))),(SamplingData[[#This Row],[Total]]+SamplingData[[#This Row],[Winning Candidate]]-SamplingData[[#This Row],[Candidate 4]])/(SamplingData[[#Totals],[Winning Candidate]]-SamplingData[[#Totals],[Candidate 4]]), 0)</f>
        <v>0</v>
      </c>
      <c r="T220" s="100">
        <f>IF(AND(SamplingData[[#This Row],[Total]]&lt;&gt; 0, NOT(ISBLANK(SamplingData[[#This Row],[Candidate 5]]))),(SamplingData[[#This Row],[Total]]+SamplingData[[#This Row],[Winning Candidate]]-SamplingData[[#This Row],[Candidate 5]])/(SamplingData[[#Totals],[Winning Candidate]]-SamplingData[[#Totals],[Candidate 5]]), 0)</f>
        <v>0</v>
      </c>
      <c r="U220" s="100">
        <f>IF(AND(SamplingData[[#This Row],[Total]]&lt;&gt; 0, NOT(ISBLANK(SamplingData[[#This Row],[Candidate 6]]))),(SamplingData[[#This Row],[Total]]+SamplingData[[#This Row],[Losing Candidate]]-SamplingData[[#This Row],[Candidate 6]])/(SamplingData[[#Totals],[Winning Candidate]]-SamplingData[[#Totals],[Candidate 6]]), 0)</f>
        <v>0</v>
      </c>
      <c r="V220" s="100">
        <f>IF(AND(SamplingData[[#This Row],[Total]]&lt;&gt; 0, NOT(ISBLANK(SamplingData[[#This Row],[Candidate 7]]))),(SamplingData[[#This Row],[Total]]+SamplingData[[#This Row],[Winning Candidate]]-SamplingData[[#This Row],[Candidate 7]])/(SamplingData[[#Totals],[Winning Candidate]]-SamplingData[[#Totals],[Candidate 7]]), 0)</f>
        <v>0</v>
      </c>
      <c r="W220" s="100">
        <f>IF(AND(SamplingData[[#This Row],[Total]]&lt;&gt; 0, NOT(ISBLANK(SamplingData[[#This Row],[Candidate 8]]))),(SamplingData[[#This Row],[Total]]+SamplingData[[#This Row],[Winning Candidate]]-SamplingData[[#This Row],[Candidate 8]])/(SamplingData[[#Totals],[Winning Candidate]]-SamplingData[[#Totals],[Candidate 8]]), 0)</f>
        <v>0</v>
      </c>
      <c r="X2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0" s="100">
        <f>MAX(SamplingData[[#This Row],[Error Bound (up) - Max. possible relative overstatement - Losing Candidate]:[Error Bound (up) - Max. possible relative overstatement - Candidate 12]])</f>
        <v>1.3210290120725618E-2</v>
      </c>
      <c r="AC220" s="100">
        <f>IF(SamplingData[[#This Row],[Max Error Bound (up)]] = 0,0,SamplingData[[#This Row],[Max Error Bound (up)]]/SamplingData[[#Totals],[Max Error Bound (up)]])</f>
        <v>5.3614695711633829E-3</v>
      </c>
      <c r="AD220" s="104">
        <f>SUM($AC$5:AC220)</f>
        <v>0.29926549521662171</v>
      </c>
      <c r="AE220" s="100" t="str" cm="1">
        <f t="array" ref="AE220">IF(SamplingData[[#This Row],[up/U Selection Probability]] = 0, "Zero", TEXT(SamplingData[[#This Row],[Lower Range]], REPT("0",LEN('General Info'!$B$42))) &amp; " - " &amp; TEXT(SamplingData[[#This Row],[Upper Range]], REPT("0",LEN('General Info'!$B$42))))</f>
        <v>29390 - 29926</v>
      </c>
      <c r="AF220" s="100">
        <f>SamplingData[[#This Row],[Upper Range]]-SamplingData[[#This Row],[Span]]</f>
        <v>29390.402564545831</v>
      </c>
      <c r="AG220" s="100">
        <f>IF(ISNUMBER('General Info'!$B$42), ((SamplingData[[#This Row],[up/U Selection Probability]]) * 'General Info'!$B$44) - 1, 0)</f>
        <v>535.14695711633829</v>
      </c>
      <c r="AH220" s="100">
        <f>IF(ISNUMBER('General Info'!$B$42), (SamplingData[[#This Row],[Running (cumulative) sum]] * ('General Info'!$B$42 -'General Info'!$B$43 + 1)) + 'General Info'!$B$43 - 1, 0)</f>
        <v>29925.549521662171</v>
      </c>
      <c r="AI220" s="100" t="str">
        <f>IF(ISERROR(MATCH(SamplingData[[#This Row],[Batch by Type (p)]],SelectedPrecincts[Batch Name], 0)), "", INDEX(SelectedPrecincts[Draw], MATCH(SamplingData[[#This Row],[Batch by Type (p)]],SelectedPrecincts[Batch Name], 0)))</f>
        <v/>
      </c>
      <c r="AJ220" s="101">
        <f>IF(COUNTIF(SelectedPrecincts[Batch Name],SamplingData[[#This Row],[Batch by Type (p)]]) &lt;&gt; 0, COUNTIF(SelectedPrecincts[Batch Name],SamplingData[[#This Row],[Batch by Type (p)]]), 0)</f>
        <v>0</v>
      </c>
    </row>
    <row r="221" spans="1:36" ht="15" customHeight="1" x14ac:dyDescent="0.35">
      <c r="A221" s="98" t="s">
        <v>432</v>
      </c>
      <c r="B221" s="98">
        <v>83</v>
      </c>
      <c r="C221" s="98">
        <v>11</v>
      </c>
      <c r="D221" s="93">
        <v>8</v>
      </c>
      <c r="E221" s="93"/>
      <c r="F221" s="93"/>
      <c r="G221" s="97"/>
      <c r="H221" s="97"/>
      <c r="I221" s="93"/>
      <c r="J221" s="93"/>
      <c r="K221" s="93"/>
      <c r="L221" s="93"/>
      <c r="M221" s="93"/>
      <c r="N221" s="98">
        <v>0</v>
      </c>
      <c r="O221" s="98">
        <v>0</v>
      </c>
      <c r="P221" s="99">
        <f>SUM(SamplingData[[#This Row],[Winning Candidate]:[Under Votes]])</f>
        <v>102</v>
      </c>
      <c r="Q221" s="100">
        <f>IF(AND(SamplingData[[#This Row],[Total]]&lt;&gt; 0, NOT(ISBLANK(SamplingData[[#This Row],[Losing Candidate]]))),(SamplingData[[#This Row],[Total]]+SamplingData[[#This Row],[Winning Candidate]]-SamplingData[[#This Row],[Losing Candidate]])/(SamplingData[[#Totals],[Winning Candidate]]-SamplingData[[#Totals],[Losing Candidate]]), 0)</f>
        <v>1.0998040578977309E-2</v>
      </c>
      <c r="R221" s="100">
        <f>IF(AND(SamplingData[[#This Row],[Total]]&lt;&gt; 0, NOT(ISBLANK(SamplingData[[#This Row],[Candidate 3]]))),(SamplingData[[#This Row],[Total]]+SamplingData[[#This Row],[Winning Candidate]]-SamplingData[[#This Row],[Candidate 3]])/(SamplingData[[#Totals],[Winning Candidate]]-SamplingData[[#Totals],[Candidate 3]]), 0)</f>
        <v>9.9909686159403936E-3</v>
      </c>
      <c r="S221" s="100">
        <f>IF(AND(SamplingData[[#This Row],[Total]]&lt;&gt; 0, NOT(ISBLANK(SamplingData[[#This Row],[Candidate 4]]))),(SamplingData[[#This Row],[Total]]+SamplingData[[#This Row],[Winning Candidate]]-SamplingData[[#This Row],[Candidate 4]])/(SamplingData[[#Totals],[Winning Candidate]]-SamplingData[[#Totals],[Candidate 4]]), 0)</f>
        <v>0</v>
      </c>
      <c r="T221" s="100">
        <f>IF(AND(SamplingData[[#This Row],[Total]]&lt;&gt; 0, NOT(ISBLANK(SamplingData[[#This Row],[Candidate 5]]))),(SamplingData[[#This Row],[Total]]+SamplingData[[#This Row],[Winning Candidate]]-SamplingData[[#This Row],[Candidate 5]])/(SamplingData[[#Totals],[Winning Candidate]]-SamplingData[[#Totals],[Candidate 5]]), 0)</f>
        <v>0</v>
      </c>
      <c r="U221" s="100">
        <f>IF(AND(SamplingData[[#This Row],[Total]]&lt;&gt; 0, NOT(ISBLANK(SamplingData[[#This Row],[Candidate 6]]))),(SamplingData[[#This Row],[Total]]+SamplingData[[#This Row],[Losing Candidate]]-SamplingData[[#This Row],[Candidate 6]])/(SamplingData[[#Totals],[Winning Candidate]]-SamplingData[[#Totals],[Candidate 6]]), 0)</f>
        <v>0</v>
      </c>
      <c r="V221" s="100">
        <f>IF(AND(SamplingData[[#This Row],[Total]]&lt;&gt; 0, NOT(ISBLANK(SamplingData[[#This Row],[Candidate 7]]))),(SamplingData[[#This Row],[Total]]+SamplingData[[#This Row],[Winning Candidate]]-SamplingData[[#This Row],[Candidate 7]])/(SamplingData[[#Totals],[Winning Candidate]]-SamplingData[[#Totals],[Candidate 7]]), 0)</f>
        <v>0</v>
      </c>
      <c r="W221" s="100">
        <f>IF(AND(SamplingData[[#This Row],[Total]]&lt;&gt; 0, NOT(ISBLANK(SamplingData[[#This Row],[Candidate 8]]))),(SamplingData[[#This Row],[Total]]+SamplingData[[#This Row],[Winning Candidate]]-SamplingData[[#This Row],[Candidate 8]])/(SamplingData[[#Totals],[Winning Candidate]]-SamplingData[[#Totals],[Candidate 8]]), 0)</f>
        <v>0</v>
      </c>
      <c r="X2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1" s="100">
        <f>MAX(SamplingData[[#This Row],[Error Bound (up) - Max. possible relative overstatement - Losing Candidate]:[Error Bound (up) - Max. possible relative overstatement - Candidate 12]])</f>
        <v>1.0998040578977309E-2</v>
      </c>
      <c r="AC221" s="100">
        <f>IF(SamplingData[[#This Row],[Max Error Bound (up)]] = 0,0,SamplingData[[#This Row],[Max Error Bound (up)]]/SamplingData[[#Totals],[Max Error Bound (up)]])</f>
        <v>4.4636158152269309E-3</v>
      </c>
      <c r="AD221" s="104">
        <f>SUM($AC$5:AC221)</f>
        <v>0.30372911103184863</v>
      </c>
      <c r="AE221" s="100" t="str" cm="1">
        <f t="array" ref="AE221">IF(SamplingData[[#This Row],[up/U Selection Probability]] = 0, "Zero", TEXT(SamplingData[[#This Row],[Lower Range]], REPT("0",LEN('General Info'!$B$42))) &amp; " - " &amp; TEXT(SamplingData[[#This Row],[Upper Range]], REPT("0",LEN('General Info'!$B$42))))</f>
        <v>29927 - 30372</v>
      </c>
      <c r="AF221" s="100">
        <f>SamplingData[[#This Row],[Upper Range]]-SamplingData[[#This Row],[Span]]</f>
        <v>29926.549521662171</v>
      </c>
      <c r="AG221" s="100">
        <f>IF(ISNUMBER('General Info'!$B$42), ((SamplingData[[#This Row],[up/U Selection Probability]]) * 'General Info'!$B$44) - 1, 0)</f>
        <v>445.36158152269309</v>
      </c>
      <c r="AH221" s="100">
        <f>IF(ISNUMBER('General Info'!$B$42), (SamplingData[[#This Row],[Running (cumulative) sum]] * ('General Info'!$B$42 -'General Info'!$B$43 + 1)) + 'General Info'!$B$43 - 1, 0)</f>
        <v>30371.911103184862</v>
      </c>
      <c r="AI221" s="100" t="str">
        <f>IF(ISERROR(MATCH(SamplingData[[#This Row],[Batch by Type (p)]],SelectedPrecincts[Batch Name], 0)), "", INDEX(SelectedPrecincts[Draw], MATCH(SamplingData[[#This Row],[Batch by Type (p)]],SelectedPrecincts[Batch Name], 0)))</f>
        <v/>
      </c>
      <c r="AJ221" s="101">
        <f>IF(COUNTIF(SelectedPrecincts[Batch Name],SamplingData[[#This Row],[Batch by Type (p)]]) &lt;&gt; 0, COUNTIF(SelectedPrecincts[Batch Name],SamplingData[[#This Row],[Batch by Type (p)]]), 0)</f>
        <v>0</v>
      </c>
    </row>
    <row r="222" spans="1:36" ht="15" customHeight="1" x14ac:dyDescent="0.35">
      <c r="A222" s="98" t="s">
        <v>433</v>
      </c>
      <c r="B222" s="98">
        <v>110</v>
      </c>
      <c r="C222" s="98">
        <v>3</v>
      </c>
      <c r="D222" s="93">
        <v>1</v>
      </c>
      <c r="E222" s="93"/>
      <c r="F222" s="93"/>
      <c r="G222" s="97"/>
      <c r="H222" s="97"/>
      <c r="I222" s="93"/>
      <c r="J222" s="93"/>
      <c r="K222" s="93"/>
      <c r="L222" s="93"/>
      <c r="M222" s="93"/>
      <c r="N222" s="98">
        <v>0</v>
      </c>
      <c r="O222" s="98">
        <v>0</v>
      </c>
      <c r="P222" s="99">
        <f>SUM(SamplingData[[#This Row],[Winning Candidate]:[Under Votes]])</f>
        <v>114</v>
      </c>
      <c r="Q222" s="100">
        <f>IF(AND(SamplingData[[#This Row],[Total]]&lt;&gt; 0, NOT(ISBLANK(SamplingData[[#This Row],[Losing Candidate]]))),(SamplingData[[#This Row],[Total]]+SamplingData[[#This Row],[Winning Candidate]]-SamplingData[[#This Row],[Losing Candidate]])/(SamplingData[[#Totals],[Winning Candidate]]-SamplingData[[#Totals],[Losing Candidate]]), 0)</f>
        <v>1.3968775677896467E-2</v>
      </c>
      <c r="R222" s="100">
        <f>IF(AND(SamplingData[[#This Row],[Total]]&lt;&gt; 0, NOT(ISBLANK(SamplingData[[#This Row],[Candidate 3]]))),(SamplingData[[#This Row],[Total]]+SamplingData[[#This Row],[Winning Candidate]]-SamplingData[[#This Row],[Candidate 3]])/(SamplingData[[#Totals],[Winning Candidate]]-SamplingData[[#Totals],[Candidate 3]]), 0)</f>
        <v>1.2587491533077444E-2</v>
      </c>
      <c r="S222" s="100">
        <f>IF(AND(SamplingData[[#This Row],[Total]]&lt;&gt; 0, NOT(ISBLANK(SamplingData[[#This Row],[Candidate 4]]))),(SamplingData[[#This Row],[Total]]+SamplingData[[#This Row],[Winning Candidate]]-SamplingData[[#This Row],[Candidate 4]])/(SamplingData[[#Totals],[Winning Candidate]]-SamplingData[[#Totals],[Candidate 4]]), 0)</f>
        <v>0</v>
      </c>
      <c r="T222" s="100">
        <f>IF(AND(SamplingData[[#This Row],[Total]]&lt;&gt; 0, NOT(ISBLANK(SamplingData[[#This Row],[Candidate 5]]))),(SamplingData[[#This Row],[Total]]+SamplingData[[#This Row],[Winning Candidate]]-SamplingData[[#This Row],[Candidate 5]])/(SamplingData[[#Totals],[Winning Candidate]]-SamplingData[[#Totals],[Candidate 5]]), 0)</f>
        <v>0</v>
      </c>
      <c r="U222" s="100">
        <f>IF(AND(SamplingData[[#This Row],[Total]]&lt;&gt; 0, NOT(ISBLANK(SamplingData[[#This Row],[Candidate 6]]))),(SamplingData[[#This Row],[Total]]+SamplingData[[#This Row],[Losing Candidate]]-SamplingData[[#This Row],[Candidate 6]])/(SamplingData[[#Totals],[Winning Candidate]]-SamplingData[[#Totals],[Candidate 6]]), 0)</f>
        <v>0</v>
      </c>
      <c r="V222" s="100">
        <f>IF(AND(SamplingData[[#This Row],[Total]]&lt;&gt; 0, NOT(ISBLANK(SamplingData[[#This Row],[Candidate 7]]))),(SamplingData[[#This Row],[Total]]+SamplingData[[#This Row],[Winning Candidate]]-SamplingData[[#This Row],[Candidate 7]])/(SamplingData[[#Totals],[Winning Candidate]]-SamplingData[[#Totals],[Candidate 7]]), 0)</f>
        <v>0</v>
      </c>
      <c r="W222" s="100">
        <f>IF(AND(SamplingData[[#This Row],[Total]]&lt;&gt; 0, NOT(ISBLANK(SamplingData[[#This Row],[Candidate 8]]))),(SamplingData[[#This Row],[Total]]+SamplingData[[#This Row],[Winning Candidate]]-SamplingData[[#This Row],[Candidate 8]])/(SamplingData[[#Totals],[Winning Candidate]]-SamplingData[[#Totals],[Candidate 8]]), 0)</f>
        <v>0</v>
      </c>
      <c r="X2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2" s="100">
        <f>MAX(SamplingData[[#This Row],[Error Bound (up) - Max. possible relative overstatement - Losing Candidate]:[Error Bound (up) - Max. possible relative overstatement - Candidate 12]])</f>
        <v>1.3968775677896467E-2</v>
      </c>
      <c r="AC222" s="100">
        <f>IF(SamplingData[[#This Row],[Max Error Bound (up)]] = 0,0,SamplingData[[#This Row],[Max Error Bound (up)]]/SamplingData[[#Totals],[Max Error Bound (up)]])</f>
        <v>5.6693051446273087E-3</v>
      </c>
      <c r="AD222" s="104">
        <f>SUM($AC$5:AC222)</f>
        <v>0.30939841617647595</v>
      </c>
      <c r="AE222" s="100" t="str" cm="1">
        <f t="array" ref="AE222">IF(SamplingData[[#This Row],[up/U Selection Probability]] = 0, "Zero", TEXT(SamplingData[[#This Row],[Lower Range]], REPT("0",LEN('General Info'!$B$42))) &amp; " - " &amp; TEXT(SamplingData[[#This Row],[Upper Range]], REPT("0",LEN('General Info'!$B$42))))</f>
        <v>30373 - 30939</v>
      </c>
      <c r="AF222" s="100">
        <f>SamplingData[[#This Row],[Upper Range]]-SamplingData[[#This Row],[Span]]</f>
        <v>30372.911103184862</v>
      </c>
      <c r="AG222" s="100">
        <f>IF(ISNUMBER('General Info'!$B$42), ((SamplingData[[#This Row],[up/U Selection Probability]]) * 'General Info'!$B$44) - 1, 0)</f>
        <v>565.93051446273091</v>
      </c>
      <c r="AH222" s="100">
        <f>IF(ISNUMBER('General Info'!$B$42), (SamplingData[[#This Row],[Running (cumulative) sum]] * ('General Info'!$B$42 -'General Info'!$B$43 + 1)) + 'General Info'!$B$43 - 1, 0)</f>
        <v>30938.841617647595</v>
      </c>
      <c r="AI222" s="100" t="str">
        <f>IF(ISERROR(MATCH(SamplingData[[#This Row],[Batch by Type (p)]],SelectedPrecincts[Batch Name], 0)), "", INDEX(SelectedPrecincts[Draw], MATCH(SamplingData[[#This Row],[Batch by Type (p)]],SelectedPrecincts[Batch Name], 0)))</f>
        <v/>
      </c>
      <c r="AJ222" s="101">
        <f>IF(COUNTIF(SelectedPrecincts[Batch Name],SamplingData[[#This Row],[Batch by Type (p)]]) &lt;&gt; 0, COUNTIF(SelectedPrecincts[Batch Name],SamplingData[[#This Row],[Batch by Type (p)]]), 0)</f>
        <v>0</v>
      </c>
    </row>
    <row r="223" spans="1:36" ht="15" customHeight="1" x14ac:dyDescent="0.35">
      <c r="A223" s="98" t="s">
        <v>434</v>
      </c>
      <c r="B223" s="98">
        <v>114</v>
      </c>
      <c r="C223" s="98">
        <v>0</v>
      </c>
      <c r="D223" s="93">
        <v>2</v>
      </c>
      <c r="E223" s="93"/>
      <c r="F223" s="93"/>
      <c r="G223" s="97"/>
      <c r="H223" s="97"/>
      <c r="I223" s="93"/>
      <c r="J223" s="93"/>
      <c r="K223" s="93"/>
      <c r="L223" s="93"/>
      <c r="M223" s="93"/>
      <c r="N223" s="98">
        <v>0</v>
      </c>
      <c r="O223" s="98">
        <v>0</v>
      </c>
      <c r="P223" s="99">
        <f>SUM(SamplingData[[#This Row],[Winning Candidate]:[Under Votes]])</f>
        <v>116</v>
      </c>
      <c r="Q223" s="100">
        <f>IF(AND(SamplingData[[#This Row],[Total]]&lt;&gt; 0, NOT(ISBLANK(SamplingData[[#This Row],[Losing Candidate]]))),(SamplingData[[#This Row],[Total]]+SamplingData[[#This Row],[Winning Candidate]]-SamplingData[[#This Row],[Losing Candidate]])/(SamplingData[[#Totals],[Winning Candidate]]-SamplingData[[#Totals],[Losing Candidate]]), 0)</f>
        <v>1.4537639845774603E-2</v>
      </c>
      <c r="R223" s="100">
        <f>IF(AND(SamplingData[[#This Row],[Total]]&lt;&gt; 0, NOT(ISBLANK(SamplingData[[#This Row],[Candidate 3]]))),(SamplingData[[#This Row],[Total]]+SamplingData[[#This Row],[Winning Candidate]]-SamplingData[[#This Row],[Candidate 3]])/(SamplingData[[#Totals],[Winning Candidate]]-SamplingData[[#Totals],[Candidate 3]]), 0)</f>
        <v>1.2869722284940167E-2</v>
      </c>
      <c r="S223" s="100">
        <f>IF(AND(SamplingData[[#This Row],[Total]]&lt;&gt; 0, NOT(ISBLANK(SamplingData[[#This Row],[Candidate 4]]))),(SamplingData[[#This Row],[Total]]+SamplingData[[#This Row],[Winning Candidate]]-SamplingData[[#This Row],[Candidate 4]])/(SamplingData[[#Totals],[Winning Candidate]]-SamplingData[[#Totals],[Candidate 4]]), 0)</f>
        <v>0</v>
      </c>
      <c r="T223" s="100">
        <f>IF(AND(SamplingData[[#This Row],[Total]]&lt;&gt; 0, NOT(ISBLANK(SamplingData[[#This Row],[Candidate 5]]))),(SamplingData[[#This Row],[Total]]+SamplingData[[#This Row],[Winning Candidate]]-SamplingData[[#This Row],[Candidate 5]])/(SamplingData[[#Totals],[Winning Candidate]]-SamplingData[[#Totals],[Candidate 5]]), 0)</f>
        <v>0</v>
      </c>
      <c r="U223" s="100">
        <f>IF(AND(SamplingData[[#This Row],[Total]]&lt;&gt; 0, NOT(ISBLANK(SamplingData[[#This Row],[Candidate 6]]))),(SamplingData[[#This Row],[Total]]+SamplingData[[#This Row],[Losing Candidate]]-SamplingData[[#This Row],[Candidate 6]])/(SamplingData[[#Totals],[Winning Candidate]]-SamplingData[[#Totals],[Candidate 6]]), 0)</f>
        <v>0</v>
      </c>
      <c r="V223" s="100">
        <f>IF(AND(SamplingData[[#This Row],[Total]]&lt;&gt; 0, NOT(ISBLANK(SamplingData[[#This Row],[Candidate 7]]))),(SamplingData[[#This Row],[Total]]+SamplingData[[#This Row],[Winning Candidate]]-SamplingData[[#This Row],[Candidate 7]])/(SamplingData[[#Totals],[Winning Candidate]]-SamplingData[[#Totals],[Candidate 7]]), 0)</f>
        <v>0</v>
      </c>
      <c r="W223" s="100">
        <f>IF(AND(SamplingData[[#This Row],[Total]]&lt;&gt; 0, NOT(ISBLANK(SamplingData[[#This Row],[Candidate 8]]))),(SamplingData[[#This Row],[Total]]+SamplingData[[#This Row],[Winning Candidate]]-SamplingData[[#This Row],[Candidate 8]])/(SamplingData[[#Totals],[Winning Candidate]]-SamplingData[[#Totals],[Candidate 8]]), 0)</f>
        <v>0</v>
      </c>
      <c r="X2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3" s="100">
        <f>MAX(SamplingData[[#This Row],[Error Bound (up) - Max. possible relative overstatement - Losing Candidate]:[Error Bound (up) - Max. possible relative overstatement - Candidate 12]])</f>
        <v>1.4537639845774603E-2</v>
      </c>
      <c r="AC223" s="100">
        <f>IF(SamplingData[[#This Row],[Max Error Bound (up)]] = 0,0,SamplingData[[#This Row],[Max Error Bound (up)]]/SamplingData[[#Totals],[Max Error Bound (up)]])</f>
        <v>5.9001818247252534E-3</v>
      </c>
      <c r="AD223" s="104">
        <f>SUM($AC$5:AC223)</f>
        <v>0.31529859800120119</v>
      </c>
      <c r="AE223" s="100" t="str" cm="1">
        <f t="array" ref="AE223">IF(SamplingData[[#This Row],[up/U Selection Probability]] = 0, "Zero", TEXT(SamplingData[[#This Row],[Lower Range]], REPT("0",LEN('General Info'!$B$42))) &amp; " - " &amp; TEXT(SamplingData[[#This Row],[Upper Range]], REPT("0",LEN('General Info'!$B$42))))</f>
        <v>30940 - 31529</v>
      </c>
      <c r="AF223" s="100">
        <f>SamplingData[[#This Row],[Upper Range]]-SamplingData[[#This Row],[Span]]</f>
        <v>30939.841617647595</v>
      </c>
      <c r="AG223" s="100">
        <f>IF(ISNUMBER('General Info'!$B$42), ((SamplingData[[#This Row],[up/U Selection Probability]]) * 'General Info'!$B$44) - 1, 0)</f>
        <v>589.01818247252538</v>
      </c>
      <c r="AH223" s="100">
        <f>IF(ISNUMBER('General Info'!$B$42), (SamplingData[[#This Row],[Running (cumulative) sum]] * ('General Info'!$B$42 -'General Info'!$B$43 + 1)) + 'General Info'!$B$43 - 1, 0)</f>
        <v>31528.859800120121</v>
      </c>
      <c r="AI223" s="100" t="str">
        <f>IF(ISERROR(MATCH(SamplingData[[#This Row],[Batch by Type (p)]],SelectedPrecincts[Batch Name], 0)), "", INDEX(SelectedPrecincts[Draw], MATCH(SamplingData[[#This Row],[Batch by Type (p)]],SelectedPrecincts[Batch Name], 0)))</f>
        <v/>
      </c>
      <c r="AJ223" s="101">
        <f>IF(COUNTIF(SelectedPrecincts[Batch Name],SamplingData[[#This Row],[Batch by Type (p)]]) &lt;&gt; 0, COUNTIF(SelectedPrecincts[Batch Name],SamplingData[[#This Row],[Batch by Type (p)]]), 0)</f>
        <v>0</v>
      </c>
    </row>
    <row r="224" spans="1:36" ht="15" customHeight="1" x14ac:dyDescent="0.35">
      <c r="A224" s="98" t="s">
        <v>435</v>
      </c>
      <c r="B224" s="98">
        <v>142</v>
      </c>
      <c r="C224" s="98">
        <v>25</v>
      </c>
      <c r="D224" s="93">
        <v>10</v>
      </c>
      <c r="E224" s="93"/>
      <c r="F224" s="93"/>
      <c r="G224" s="97"/>
      <c r="H224" s="97"/>
      <c r="I224" s="93"/>
      <c r="J224" s="93"/>
      <c r="K224" s="93"/>
      <c r="L224" s="93"/>
      <c r="M224" s="93"/>
      <c r="N224" s="98">
        <v>0</v>
      </c>
      <c r="O224" s="98">
        <v>0</v>
      </c>
      <c r="P224" s="99">
        <f>SUM(SamplingData[[#This Row],[Winning Candidate]:[Under Votes]])</f>
        <v>177</v>
      </c>
      <c r="Q224" s="100">
        <f>IF(AND(SamplingData[[#This Row],[Total]]&lt;&gt; 0, NOT(ISBLANK(SamplingData[[#This Row],[Losing Candidate]]))),(SamplingData[[#This Row],[Total]]+SamplingData[[#This Row],[Winning Candidate]]-SamplingData[[#This Row],[Losing Candidate]])/(SamplingData[[#Totals],[Winning Candidate]]-SamplingData[[#Totals],[Losing Candidate]]), 0)</f>
        <v>1.8582896150685799E-2</v>
      </c>
      <c r="R224" s="100">
        <f>IF(AND(SamplingData[[#This Row],[Total]]&lt;&gt; 0, NOT(ISBLANK(SamplingData[[#This Row],[Candidate 3]]))),(SamplingData[[#This Row],[Total]]+SamplingData[[#This Row],[Winning Candidate]]-SamplingData[[#This Row],[Candidate 3]])/(SamplingData[[#Totals],[Winning Candidate]]-SamplingData[[#Totals],[Candidate 3]]), 0)</f>
        <v>1.7441860465116279E-2</v>
      </c>
      <c r="S224" s="100">
        <f>IF(AND(SamplingData[[#This Row],[Total]]&lt;&gt; 0, NOT(ISBLANK(SamplingData[[#This Row],[Candidate 4]]))),(SamplingData[[#This Row],[Total]]+SamplingData[[#This Row],[Winning Candidate]]-SamplingData[[#This Row],[Candidate 4]])/(SamplingData[[#Totals],[Winning Candidate]]-SamplingData[[#Totals],[Candidate 4]]), 0)</f>
        <v>0</v>
      </c>
      <c r="T224" s="100">
        <f>IF(AND(SamplingData[[#This Row],[Total]]&lt;&gt; 0, NOT(ISBLANK(SamplingData[[#This Row],[Candidate 5]]))),(SamplingData[[#This Row],[Total]]+SamplingData[[#This Row],[Winning Candidate]]-SamplingData[[#This Row],[Candidate 5]])/(SamplingData[[#Totals],[Winning Candidate]]-SamplingData[[#Totals],[Candidate 5]]), 0)</f>
        <v>0</v>
      </c>
      <c r="U224" s="100">
        <f>IF(AND(SamplingData[[#This Row],[Total]]&lt;&gt; 0, NOT(ISBLANK(SamplingData[[#This Row],[Candidate 6]]))),(SamplingData[[#This Row],[Total]]+SamplingData[[#This Row],[Losing Candidate]]-SamplingData[[#This Row],[Candidate 6]])/(SamplingData[[#Totals],[Winning Candidate]]-SamplingData[[#Totals],[Candidate 6]]), 0)</f>
        <v>0</v>
      </c>
      <c r="V224" s="100">
        <f>IF(AND(SamplingData[[#This Row],[Total]]&lt;&gt; 0, NOT(ISBLANK(SamplingData[[#This Row],[Candidate 7]]))),(SamplingData[[#This Row],[Total]]+SamplingData[[#This Row],[Winning Candidate]]-SamplingData[[#This Row],[Candidate 7]])/(SamplingData[[#Totals],[Winning Candidate]]-SamplingData[[#Totals],[Candidate 7]]), 0)</f>
        <v>0</v>
      </c>
      <c r="W224" s="100">
        <f>IF(AND(SamplingData[[#This Row],[Total]]&lt;&gt; 0, NOT(ISBLANK(SamplingData[[#This Row],[Candidate 8]]))),(SamplingData[[#This Row],[Total]]+SamplingData[[#This Row],[Winning Candidate]]-SamplingData[[#This Row],[Candidate 8]])/(SamplingData[[#Totals],[Winning Candidate]]-SamplingData[[#Totals],[Candidate 8]]), 0)</f>
        <v>0</v>
      </c>
      <c r="X2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4" s="100">
        <f>MAX(SamplingData[[#This Row],[Error Bound (up) - Max. possible relative overstatement - Losing Candidate]:[Error Bound (up) - Max. possible relative overstatement - Candidate 12]])</f>
        <v>1.8582896150685799E-2</v>
      </c>
      <c r="AC224" s="100">
        <f>IF(SamplingData[[#This Row],[Max Error Bound (up)]] = 0,0,SamplingData[[#This Row],[Max Error Bound (up)]]/SamplingData[[#Totals],[Max Error Bound (up)]])</f>
        <v>7.541971549866194E-3</v>
      </c>
      <c r="AD224" s="104">
        <f>SUM($AC$5:AC224)</f>
        <v>0.32284056955106738</v>
      </c>
      <c r="AE224" s="100" t="str" cm="1">
        <f t="array" ref="AE224">IF(SamplingData[[#This Row],[up/U Selection Probability]] = 0, "Zero", TEXT(SamplingData[[#This Row],[Lower Range]], REPT("0",LEN('General Info'!$B$42))) &amp; " - " &amp; TEXT(SamplingData[[#This Row],[Upper Range]], REPT("0",LEN('General Info'!$B$42))))</f>
        <v>31530 - 32283</v>
      </c>
      <c r="AF224" s="100">
        <f>SamplingData[[#This Row],[Upper Range]]-SamplingData[[#This Row],[Span]]</f>
        <v>31529.859800120117</v>
      </c>
      <c r="AG224" s="100">
        <f>IF(ISNUMBER('General Info'!$B$42), ((SamplingData[[#This Row],[up/U Selection Probability]]) * 'General Info'!$B$44) - 1, 0)</f>
        <v>753.19715498661935</v>
      </c>
      <c r="AH224" s="100">
        <f>IF(ISNUMBER('General Info'!$B$42), (SamplingData[[#This Row],[Running (cumulative) sum]] * ('General Info'!$B$42 -'General Info'!$B$43 + 1)) + 'General Info'!$B$43 - 1, 0)</f>
        <v>32283.056955106738</v>
      </c>
      <c r="AI224" s="100" t="str">
        <f>IF(ISERROR(MATCH(SamplingData[[#This Row],[Batch by Type (p)]],SelectedPrecincts[Batch Name], 0)), "", INDEX(SelectedPrecincts[Draw], MATCH(SamplingData[[#This Row],[Batch by Type (p)]],SelectedPrecincts[Batch Name], 0)))</f>
        <v/>
      </c>
      <c r="AJ224" s="101">
        <f>IF(COUNTIF(SelectedPrecincts[Batch Name],SamplingData[[#This Row],[Batch by Type (p)]]) &lt;&gt; 0, COUNTIF(SelectedPrecincts[Batch Name],SamplingData[[#This Row],[Batch by Type (p)]]), 0)</f>
        <v>0</v>
      </c>
    </row>
    <row r="225" spans="1:36" ht="15" customHeight="1" x14ac:dyDescent="0.35">
      <c r="A225" s="98" t="s">
        <v>436</v>
      </c>
      <c r="B225" s="98">
        <v>111</v>
      </c>
      <c r="C225" s="98">
        <v>19</v>
      </c>
      <c r="D225" s="93">
        <v>5</v>
      </c>
      <c r="E225" s="93"/>
      <c r="F225" s="93"/>
      <c r="G225" s="97"/>
      <c r="H225" s="97"/>
      <c r="I225" s="93"/>
      <c r="J225" s="93"/>
      <c r="K225" s="93"/>
      <c r="L225" s="93"/>
      <c r="M225" s="93"/>
      <c r="N225" s="98">
        <v>0</v>
      </c>
      <c r="O225" s="98">
        <v>2</v>
      </c>
      <c r="P225" s="99">
        <f>SUM(SamplingData[[#This Row],[Winning Candidate]:[Under Votes]])</f>
        <v>137</v>
      </c>
      <c r="Q225" s="100">
        <f>IF(AND(SamplingData[[#This Row],[Total]]&lt;&gt; 0, NOT(ISBLANK(SamplingData[[#This Row],[Losing Candidate]]))),(SamplingData[[#This Row],[Total]]+SamplingData[[#This Row],[Winning Candidate]]-SamplingData[[#This Row],[Losing Candidate]])/(SamplingData[[#Totals],[Winning Candidate]]-SamplingData[[#Totals],[Losing Candidate]]), 0)</f>
        <v>1.4474432716010366E-2</v>
      </c>
      <c r="R225" s="100">
        <f>IF(AND(SamplingData[[#This Row],[Total]]&lt;&gt; 0, NOT(ISBLANK(SamplingData[[#This Row],[Candidate 3]]))),(SamplingData[[#This Row],[Total]]+SamplingData[[#This Row],[Winning Candidate]]-SamplingData[[#This Row],[Candidate 3]])/(SamplingData[[#Totals],[Winning Candidate]]-SamplingData[[#Totals],[Candidate 3]]), 0)</f>
        <v>1.3716414540528335E-2</v>
      </c>
      <c r="S225" s="100">
        <f>IF(AND(SamplingData[[#This Row],[Total]]&lt;&gt; 0, NOT(ISBLANK(SamplingData[[#This Row],[Candidate 4]]))),(SamplingData[[#This Row],[Total]]+SamplingData[[#This Row],[Winning Candidate]]-SamplingData[[#This Row],[Candidate 4]])/(SamplingData[[#Totals],[Winning Candidate]]-SamplingData[[#Totals],[Candidate 4]]), 0)</f>
        <v>0</v>
      </c>
      <c r="T225" s="100">
        <f>IF(AND(SamplingData[[#This Row],[Total]]&lt;&gt; 0, NOT(ISBLANK(SamplingData[[#This Row],[Candidate 5]]))),(SamplingData[[#This Row],[Total]]+SamplingData[[#This Row],[Winning Candidate]]-SamplingData[[#This Row],[Candidate 5]])/(SamplingData[[#Totals],[Winning Candidate]]-SamplingData[[#Totals],[Candidate 5]]), 0)</f>
        <v>0</v>
      </c>
      <c r="U225" s="100">
        <f>IF(AND(SamplingData[[#This Row],[Total]]&lt;&gt; 0, NOT(ISBLANK(SamplingData[[#This Row],[Candidate 6]]))),(SamplingData[[#This Row],[Total]]+SamplingData[[#This Row],[Losing Candidate]]-SamplingData[[#This Row],[Candidate 6]])/(SamplingData[[#Totals],[Winning Candidate]]-SamplingData[[#Totals],[Candidate 6]]), 0)</f>
        <v>0</v>
      </c>
      <c r="V225" s="100">
        <f>IF(AND(SamplingData[[#This Row],[Total]]&lt;&gt; 0, NOT(ISBLANK(SamplingData[[#This Row],[Candidate 7]]))),(SamplingData[[#This Row],[Total]]+SamplingData[[#This Row],[Winning Candidate]]-SamplingData[[#This Row],[Candidate 7]])/(SamplingData[[#Totals],[Winning Candidate]]-SamplingData[[#Totals],[Candidate 7]]), 0)</f>
        <v>0</v>
      </c>
      <c r="W225" s="100">
        <f>IF(AND(SamplingData[[#This Row],[Total]]&lt;&gt; 0, NOT(ISBLANK(SamplingData[[#This Row],[Candidate 8]]))),(SamplingData[[#This Row],[Total]]+SamplingData[[#This Row],[Winning Candidate]]-SamplingData[[#This Row],[Candidate 8]])/(SamplingData[[#Totals],[Winning Candidate]]-SamplingData[[#Totals],[Candidate 8]]), 0)</f>
        <v>0</v>
      </c>
      <c r="X2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5" s="100">
        <f>MAX(SamplingData[[#This Row],[Error Bound (up) - Max. possible relative overstatement - Losing Candidate]:[Error Bound (up) - Max. possible relative overstatement - Candidate 12]])</f>
        <v>1.4474432716010366E-2</v>
      </c>
      <c r="AC225" s="100">
        <f>IF(SamplingData[[#This Row],[Max Error Bound (up)]] = 0,0,SamplingData[[#This Row],[Max Error Bound (up)]]/SamplingData[[#Totals],[Max Error Bound (up)]])</f>
        <v>5.874528860269926E-3</v>
      </c>
      <c r="AD225" s="104">
        <f>SUM($AC$5:AC225)</f>
        <v>0.32871509841133728</v>
      </c>
      <c r="AE225" s="100" t="str" cm="1">
        <f t="array" ref="AE225">IF(SamplingData[[#This Row],[up/U Selection Probability]] = 0, "Zero", TEXT(SamplingData[[#This Row],[Lower Range]], REPT("0",LEN('General Info'!$B$42))) &amp; " - " &amp; TEXT(SamplingData[[#This Row],[Upper Range]], REPT("0",LEN('General Info'!$B$42))))</f>
        <v>32284 - 32871</v>
      </c>
      <c r="AF225" s="100">
        <f>SamplingData[[#This Row],[Upper Range]]-SamplingData[[#This Row],[Span]]</f>
        <v>32284.056955106738</v>
      </c>
      <c r="AG225" s="100">
        <f>IF(ISNUMBER('General Info'!$B$42), ((SamplingData[[#This Row],[up/U Selection Probability]]) * 'General Info'!$B$44) - 1, 0)</f>
        <v>586.45288602699259</v>
      </c>
      <c r="AH225" s="100">
        <f>IF(ISNUMBER('General Info'!$B$42), (SamplingData[[#This Row],[Running (cumulative) sum]] * ('General Info'!$B$42 -'General Info'!$B$43 + 1)) + 'General Info'!$B$43 - 1, 0)</f>
        <v>32870.509841133731</v>
      </c>
      <c r="AI225" s="100" t="str">
        <f>IF(ISERROR(MATCH(SamplingData[[#This Row],[Batch by Type (p)]],SelectedPrecincts[Batch Name], 0)), "", INDEX(SelectedPrecincts[Draw], MATCH(SamplingData[[#This Row],[Batch by Type (p)]],SelectedPrecincts[Batch Name], 0)))</f>
        <v/>
      </c>
      <c r="AJ225" s="101">
        <f>IF(COUNTIF(SelectedPrecincts[Batch Name],SamplingData[[#This Row],[Batch by Type (p)]]) &lt;&gt; 0, COUNTIF(SelectedPrecincts[Batch Name],SamplingData[[#This Row],[Batch by Type (p)]]), 0)</f>
        <v>0</v>
      </c>
    </row>
    <row r="226" spans="1:36" ht="15" customHeight="1" x14ac:dyDescent="0.35">
      <c r="A226" s="98" t="s">
        <v>437</v>
      </c>
      <c r="B226" s="98">
        <v>69</v>
      </c>
      <c r="C226" s="98">
        <v>23</v>
      </c>
      <c r="D226" s="93">
        <v>7</v>
      </c>
      <c r="E226" s="93"/>
      <c r="F226" s="93"/>
      <c r="G226" s="97"/>
      <c r="H226" s="97"/>
      <c r="I226" s="93"/>
      <c r="J226" s="93"/>
      <c r="K226" s="93"/>
      <c r="L226" s="93"/>
      <c r="M226" s="93"/>
      <c r="N226" s="98">
        <v>1</v>
      </c>
      <c r="O226" s="98">
        <v>2</v>
      </c>
      <c r="P226" s="99">
        <f>SUM(SamplingData[[#This Row],[Winning Candidate]:[Under Votes]])</f>
        <v>102</v>
      </c>
      <c r="Q226" s="100">
        <f>IF(AND(SamplingData[[#This Row],[Total]]&lt;&gt; 0, NOT(ISBLANK(SamplingData[[#This Row],[Losing Candidate]]))),(SamplingData[[#This Row],[Total]]+SamplingData[[#This Row],[Winning Candidate]]-SamplingData[[#This Row],[Losing Candidate]])/(SamplingData[[#Totals],[Winning Candidate]]-SamplingData[[#Totals],[Losing Candidate]]), 0)</f>
        <v>9.3546552051071361E-3</v>
      </c>
      <c r="R226" s="100">
        <f>IF(AND(SamplingData[[#This Row],[Total]]&lt;&gt; 0, NOT(ISBLANK(SamplingData[[#This Row],[Candidate 3]]))),(SamplingData[[#This Row],[Total]]+SamplingData[[#This Row],[Winning Candidate]]-SamplingData[[#This Row],[Candidate 3]])/(SamplingData[[#Totals],[Winning Candidate]]-SamplingData[[#Totals],[Candidate 3]]), 0)</f>
        <v>9.2571686610973137E-3</v>
      </c>
      <c r="S226" s="100">
        <f>IF(AND(SamplingData[[#This Row],[Total]]&lt;&gt; 0, NOT(ISBLANK(SamplingData[[#This Row],[Candidate 4]]))),(SamplingData[[#This Row],[Total]]+SamplingData[[#This Row],[Winning Candidate]]-SamplingData[[#This Row],[Candidate 4]])/(SamplingData[[#Totals],[Winning Candidate]]-SamplingData[[#Totals],[Candidate 4]]), 0)</f>
        <v>0</v>
      </c>
      <c r="T226" s="100">
        <f>IF(AND(SamplingData[[#This Row],[Total]]&lt;&gt; 0, NOT(ISBLANK(SamplingData[[#This Row],[Candidate 5]]))),(SamplingData[[#This Row],[Total]]+SamplingData[[#This Row],[Winning Candidate]]-SamplingData[[#This Row],[Candidate 5]])/(SamplingData[[#Totals],[Winning Candidate]]-SamplingData[[#Totals],[Candidate 5]]), 0)</f>
        <v>0</v>
      </c>
      <c r="U226" s="100">
        <f>IF(AND(SamplingData[[#This Row],[Total]]&lt;&gt; 0, NOT(ISBLANK(SamplingData[[#This Row],[Candidate 6]]))),(SamplingData[[#This Row],[Total]]+SamplingData[[#This Row],[Losing Candidate]]-SamplingData[[#This Row],[Candidate 6]])/(SamplingData[[#Totals],[Winning Candidate]]-SamplingData[[#Totals],[Candidate 6]]), 0)</f>
        <v>0</v>
      </c>
      <c r="V226" s="100">
        <f>IF(AND(SamplingData[[#This Row],[Total]]&lt;&gt; 0, NOT(ISBLANK(SamplingData[[#This Row],[Candidate 7]]))),(SamplingData[[#This Row],[Total]]+SamplingData[[#This Row],[Winning Candidate]]-SamplingData[[#This Row],[Candidate 7]])/(SamplingData[[#Totals],[Winning Candidate]]-SamplingData[[#Totals],[Candidate 7]]), 0)</f>
        <v>0</v>
      </c>
      <c r="W226" s="100">
        <f>IF(AND(SamplingData[[#This Row],[Total]]&lt;&gt; 0, NOT(ISBLANK(SamplingData[[#This Row],[Candidate 8]]))),(SamplingData[[#This Row],[Total]]+SamplingData[[#This Row],[Winning Candidate]]-SamplingData[[#This Row],[Candidate 8]])/(SamplingData[[#Totals],[Winning Candidate]]-SamplingData[[#Totals],[Candidate 8]]), 0)</f>
        <v>0</v>
      </c>
      <c r="X2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6" s="100">
        <f>MAX(SamplingData[[#This Row],[Error Bound (up) - Max. possible relative overstatement - Losing Candidate]:[Error Bound (up) - Max. possible relative overstatement - Candidate 12]])</f>
        <v>9.3546552051071361E-3</v>
      </c>
      <c r="AC226" s="100">
        <f>IF(SamplingData[[#This Row],[Max Error Bound (up)]] = 0,0,SamplingData[[#This Row],[Max Error Bound (up)]]/SamplingData[[#Totals],[Max Error Bound (up)]])</f>
        <v>3.7966387393884239E-3</v>
      </c>
      <c r="AD226" s="104">
        <f>SUM($AC$5:AC226)</f>
        <v>0.33251173715072568</v>
      </c>
      <c r="AE226" s="100" t="str" cm="1">
        <f t="array" ref="AE226">IF(SamplingData[[#This Row],[up/U Selection Probability]] = 0, "Zero", TEXT(SamplingData[[#This Row],[Lower Range]], REPT("0",LEN('General Info'!$B$42))) &amp; " - " &amp; TEXT(SamplingData[[#This Row],[Upper Range]], REPT("0",LEN('General Info'!$B$42))))</f>
        <v>32872 - 33250</v>
      </c>
      <c r="AF226" s="100">
        <f>SamplingData[[#This Row],[Upper Range]]-SamplingData[[#This Row],[Span]]</f>
        <v>32871.509841133724</v>
      </c>
      <c r="AG226" s="100">
        <f>IF(ISNUMBER('General Info'!$B$42), ((SamplingData[[#This Row],[up/U Selection Probability]]) * 'General Info'!$B$44) - 1, 0)</f>
        <v>378.66387393884241</v>
      </c>
      <c r="AH226" s="100">
        <f>IF(ISNUMBER('General Info'!$B$42), (SamplingData[[#This Row],[Running (cumulative) sum]] * ('General Info'!$B$42 -'General Info'!$B$43 + 1)) + 'General Info'!$B$43 - 1, 0)</f>
        <v>33250.173715072568</v>
      </c>
      <c r="AI226" s="100" t="str">
        <f>IF(ISERROR(MATCH(SamplingData[[#This Row],[Batch by Type (p)]],SelectedPrecincts[Batch Name], 0)), "", INDEX(SelectedPrecincts[Draw], MATCH(SamplingData[[#This Row],[Batch by Type (p)]],SelectedPrecincts[Batch Name], 0)))</f>
        <v/>
      </c>
      <c r="AJ226" s="101">
        <f>IF(COUNTIF(SelectedPrecincts[Batch Name],SamplingData[[#This Row],[Batch by Type (p)]]) &lt;&gt; 0, COUNTIF(SelectedPrecincts[Batch Name],SamplingData[[#This Row],[Batch by Type (p)]]), 0)</f>
        <v>0</v>
      </c>
    </row>
    <row r="227" spans="1:36" ht="15" customHeight="1" x14ac:dyDescent="0.35">
      <c r="A227" s="98" t="s">
        <v>438</v>
      </c>
      <c r="B227" s="98">
        <v>127</v>
      </c>
      <c r="C227" s="98">
        <v>24</v>
      </c>
      <c r="D227" s="93">
        <v>4</v>
      </c>
      <c r="E227" s="93"/>
      <c r="F227" s="93"/>
      <c r="G227" s="97"/>
      <c r="H227" s="97"/>
      <c r="I227" s="93"/>
      <c r="J227" s="93"/>
      <c r="K227" s="93"/>
      <c r="L227" s="93"/>
      <c r="M227" s="93"/>
      <c r="N227" s="98">
        <v>0</v>
      </c>
      <c r="O227" s="98">
        <v>3</v>
      </c>
      <c r="P227" s="99">
        <f>SUM(SamplingData[[#This Row],[Winning Candidate]:[Under Votes]])</f>
        <v>158</v>
      </c>
      <c r="Q227" s="100">
        <f>IF(AND(SamplingData[[#This Row],[Total]]&lt;&gt; 0, NOT(ISBLANK(SamplingData[[#This Row],[Losing Candidate]]))),(SamplingData[[#This Row],[Total]]+SamplingData[[#This Row],[Winning Candidate]]-SamplingData[[#This Row],[Losing Candidate]])/(SamplingData[[#Totals],[Winning Candidate]]-SamplingData[[#Totals],[Losing Candidate]]), 0)</f>
        <v>1.6497060868465963E-2</v>
      </c>
      <c r="R227" s="100">
        <f>IF(AND(SamplingData[[#This Row],[Total]]&lt;&gt; 0, NOT(ISBLANK(SamplingData[[#This Row],[Candidate 3]]))),(SamplingData[[#This Row],[Total]]+SamplingData[[#This Row],[Winning Candidate]]-SamplingData[[#This Row],[Candidate 3]])/(SamplingData[[#Totals],[Winning Candidate]]-SamplingData[[#Totals],[Candidate 3]]), 0)</f>
        <v>1.5861368254685031E-2</v>
      </c>
      <c r="S227" s="100">
        <f>IF(AND(SamplingData[[#This Row],[Total]]&lt;&gt; 0, NOT(ISBLANK(SamplingData[[#This Row],[Candidate 4]]))),(SamplingData[[#This Row],[Total]]+SamplingData[[#This Row],[Winning Candidate]]-SamplingData[[#This Row],[Candidate 4]])/(SamplingData[[#Totals],[Winning Candidate]]-SamplingData[[#Totals],[Candidate 4]]), 0)</f>
        <v>0</v>
      </c>
      <c r="T227" s="100">
        <f>IF(AND(SamplingData[[#This Row],[Total]]&lt;&gt; 0, NOT(ISBLANK(SamplingData[[#This Row],[Candidate 5]]))),(SamplingData[[#This Row],[Total]]+SamplingData[[#This Row],[Winning Candidate]]-SamplingData[[#This Row],[Candidate 5]])/(SamplingData[[#Totals],[Winning Candidate]]-SamplingData[[#Totals],[Candidate 5]]), 0)</f>
        <v>0</v>
      </c>
      <c r="U227" s="100">
        <f>IF(AND(SamplingData[[#This Row],[Total]]&lt;&gt; 0, NOT(ISBLANK(SamplingData[[#This Row],[Candidate 6]]))),(SamplingData[[#This Row],[Total]]+SamplingData[[#This Row],[Losing Candidate]]-SamplingData[[#This Row],[Candidate 6]])/(SamplingData[[#Totals],[Winning Candidate]]-SamplingData[[#Totals],[Candidate 6]]), 0)</f>
        <v>0</v>
      </c>
      <c r="V227" s="100">
        <f>IF(AND(SamplingData[[#This Row],[Total]]&lt;&gt; 0, NOT(ISBLANK(SamplingData[[#This Row],[Candidate 7]]))),(SamplingData[[#This Row],[Total]]+SamplingData[[#This Row],[Winning Candidate]]-SamplingData[[#This Row],[Candidate 7]])/(SamplingData[[#Totals],[Winning Candidate]]-SamplingData[[#Totals],[Candidate 7]]), 0)</f>
        <v>0</v>
      </c>
      <c r="W227" s="100">
        <f>IF(AND(SamplingData[[#This Row],[Total]]&lt;&gt; 0, NOT(ISBLANK(SamplingData[[#This Row],[Candidate 8]]))),(SamplingData[[#This Row],[Total]]+SamplingData[[#This Row],[Winning Candidate]]-SamplingData[[#This Row],[Candidate 8]])/(SamplingData[[#Totals],[Winning Candidate]]-SamplingData[[#Totals],[Candidate 8]]), 0)</f>
        <v>0</v>
      </c>
      <c r="X2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7" s="100">
        <f>MAX(SamplingData[[#This Row],[Error Bound (up) - Max. possible relative overstatement - Losing Candidate]:[Error Bound (up) - Max. possible relative overstatement - Candidate 12]])</f>
        <v>1.6497060868465963E-2</v>
      </c>
      <c r="AC227" s="100">
        <f>IF(SamplingData[[#This Row],[Max Error Bound (up)]] = 0,0,SamplingData[[#This Row],[Max Error Bound (up)]]/SamplingData[[#Totals],[Max Error Bound (up)]])</f>
        <v>6.6954237228403967E-3</v>
      </c>
      <c r="AD227" s="104">
        <f>SUM($AC$5:AC227)</f>
        <v>0.33920716087356606</v>
      </c>
      <c r="AE227" s="100" t="str" cm="1">
        <f t="array" ref="AE227">IF(SamplingData[[#This Row],[up/U Selection Probability]] = 0, "Zero", TEXT(SamplingData[[#This Row],[Lower Range]], REPT("0",LEN('General Info'!$B$42))) &amp; " - " &amp; TEXT(SamplingData[[#This Row],[Upper Range]], REPT("0",LEN('General Info'!$B$42))))</f>
        <v>33251 - 33920</v>
      </c>
      <c r="AF227" s="100">
        <f>SamplingData[[#This Row],[Upper Range]]-SamplingData[[#This Row],[Span]]</f>
        <v>33251.17371507256</v>
      </c>
      <c r="AG227" s="100">
        <f>IF(ISNUMBER('General Info'!$B$42), ((SamplingData[[#This Row],[up/U Selection Probability]]) * 'General Info'!$B$44) - 1, 0)</f>
        <v>668.54237228403963</v>
      </c>
      <c r="AH227" s="100">
        <f>IF(ISNUMBER('General Info'!$B$42), (SamplingData[[#This Row],[Running (cumulative) sum]] * ('General Info'!$B$42 -'General Info'!$B$43 + 1)) + 'General Info'!$B$43 - 1, 0)</f>
        <v>33919.716087356603</v>
      </c>
      <c r="AI227" s="100" t="str">
        <f>IF(ISERROR(MATCH(SamplingData[[#This Row],[Batch by Type (p)]],SelectedPrecincts[Batch Name], 0)), "", INDEX(SelectedPrecincts[Draw], MATCH(SamplingData[[#This Row],[Batch by Type (p)]],SelectedPrecincts[Batch Name], 0)))</f>
        <v/>
      </c>
      <c r="AJ227" s="101">
        <f>IF(COUNTIF(SelectedPrecincts[Batch Name],SamplingData[[#This Row],[Batch by Type (p)]]) &lt;&gt; 0, COUNTIF(SelectedPrecincts[Batch Name],SamplingData[[#This Row],[Batch by Type (p)]]), 0)</f>
        <v>0</v>
      </c>
    </row>
    <row r="228" spans="1:36" ht="15" customHeight="1" x14ac:dyDescent="0.35">
      <c r="A228" s="98" t="s">
        <v>439</v>
      </c>
      <c r="B228" s="98">
        <v>96</v>
      </c>
      <c r="C228" s="98">
        <v>25</v>
      </c>
      <c r="D228" s="93">
        <v>9</v>
      </c>
      <c r="E228" s="93"/>
      <c r="F228" s="93"/>
      <c r="G228" s="97"/>
      <c r="H228" s="97"/>
      <c r="I228" s="93"/>
      <c r="J228" s="93"/>
      <c r="K228" s="93"/>
      <c r="L228" s="93"/>
      <c r="M228" s="93"/>
      <c r="N228" s="98">
        <v>0</v>
      </c>
      <c r="O228" s="98">
        <v>1</v>
      </c>
      <c r="P228" s="99">
        <f>SUM(SamplingData[[#This Row],[Winning Candidate]:[Under Votes]])</f>
        <v>131</v>
      </c>
      <c r="Q228" s="100">
        <f>IF(AND(SamplingData[[#This Row],[Total]]&lt;&gt; 0, NOT(ISBLANK(SamplingData[[#This Row],[Losing Candidate]]))),(SamplingData[[#This Row],[Total]]+SamplingData[[#This Row],[Winning Candidate]]-SamplingData[[#This Row],[Losing Candidate]])/(SamplingData[[#Totals],[Winning Candidate]]-SamplingData[[#Totals],[Losing Candidate]]), 0)</f>
        <v>1.2767840212375956E-2</v>
      </c>
      <c r="R228" s="100">
        <f>IF(AND(SamplingData[[#This Row],[Total]]&lt;&gt; 0, NOT(ISBLANK(SamplingData[[#This Row],[Candidate 3]]))),(SamplingData[[#This Row],[Total]]+SamplingData[[#This Row],[Winning Candidate]]-SamplingData[[#This Row],[Candidate 3]])/(SamplingData[[#Totals],[Winning Candidate]]-SamplingData[[#Totals],[Candidate 3]]), 0)</f>
        <v>1.2305260781214722E-2</v>
      </c>
      <c r="S228" s="100">
        <f>IF(AND(SamplingData[[#This Row],[Total]]&lt;&gt; 0, NOT(ISBLANK(SamplingData[[#This Row],[Candidate 4]]))),(SamplingData[[#This Row],[Total]]+SamplingData[[#This Row],[Winning Candidate]]-SamplingData[[#This Row],[Candidate 4]])/(SamplingData[[#Totals],[Winning Candidate]]-SamplingData[[#Totals],[Candidate 4]]), 0)</f>
        <v>0</v>
      </c>
      <c r="T228" s="100">
        <f>IF(AND(SamplingData[[#This Row],[Total]]&lt;&gt; 0, NOT(ISBLANK(SamplingData[[#This Row],[Candidate 5]]))),(SamplingData[[#This Row],[Total]]+SamplingData[[#This Row],[Winning Candidate]]-SamplingData[[#This Row],[Candidate 5]])/(SamplingData[[#Totals],[Winning Candidate]]-SamplingData[[#Totals],[Candidate 5]]), 0)</f>
        <v>0</v>
      </c>
      <c r="U228" s="100">
        <f>IF(AND(SamplingData[[#This Row],[Total]]&lt;&gt; 0, NOT(ISBLANK(SamplingData[[#This Row],[Candidate 6]]))),(SamplingData[[#This Row],[Total]]+SamplingData[[#This Row],[Losing Candidate]]-SamplingData[[#This Row],[Candidate 6]])/(SamplingData[[#Totals],[Winning Candidate]]-SamplingData[[#Totals],[Candidate 6]]), 0)</f>
        <v>0</v>
      </c>
      <c r="V228" s="100">
        <f>IF(AND(SamplingData[[#This Row],[Total]]&lt;&gt; 0, NOT(ISBLANK(SamplingData[[#This Row],[Candidate 7]]))),(SamplingData[[#This Row],[Total]]+SamplingData[[#This Row],[Winning Candidate]]-SamplingData[[#This Row],[Candidate 7]])/(SamplingData[[#Totals],[Winning Candidate]]-SamplingData[[#Totals],[Candidate 7]]), 0)</f>
        <v>0</v>
      </c>
      <c r="W228" s="100">
        <f>IF(AND(SamplingData[[#This Row],[Total]]&lt;&gt; 0, NOT(ISBLANK(SamplingData[[#This Row],[Candidate 8]]))),(SamplingData[[#This Row],[Total]]+SamplingData[[#This Row],[Winning Candidate]]-SamplingData[[#This Row],[Candidate 8]])/(SamplingData[[#Totals],[Winning Candidate]]-SamplingData[[#Totals],[Candidate 8]]), 0)</f>
        <v>0</v>
      </c>
      <c r="X2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8" s="100">
        <f>MAX(SamplingData[[#This Row],[Error Bound (up) - Max. possible relative overstatement - Losing Candidate]:[Error Bound (up) - Max. possible relative overstatement - Candidate 12]])</f>
        <v>1.2767840212375956E-2</v>
      </c>
      <c r="AC228" s="100">
        <f>IF(SamplingData[[#This Row],[Max Error Bound (up)]] = 0,0,SamplingData[[#This Row],[Max Error Bound (up)]]/SamplingData[[#Totals],[Max Error Bound (up)]])</f>
        <v>5.1818988199760921E-3</v>
      </c>
      <c r="AD228" s="104">
        <f>SUM($AC$5:AC228)</f>
        <v>0.34438905969354217</v>
      </c>
      <c r="AE228" s="100" t="str" cm="1">
        <f t="array" ref="AE228">IF(SamplingData[[#This Row],[up/U Selection Probability]] = 0, "Zero", TEXT(SamplingData[[#This Row],[Lower Range]], REPT("0",LEN('General Info'!$B$42))) &amp; " - " &amp; TEXT(SamplingData[[#This Row],[Upper Range]], REPT("0",LEN('General Info'!$B$42))))</f>
        <v>33921 - 34438</v>
      </c>
      <c r="AF228" s="100">
        <f>SamplingData[[#This Row],[Upper Range]]-SamplingData[[#This Row],[Span]]</f>
        <v>33920.716087356603</v>
      </c>
      <c r="AG228" s="100">
        <f>IF(ISNUMBER('General Info'!$B$42), ((SamplingData[[#This Row],[up/U Selection Probability]]) * 'General Info'!$B$44) - 1, 0)</f>
        <v>517.18988199760918</v>
      </c>
      <c r="AH228" s="100">
        <f>IF(ISNUMBER('General Info'!$B$42), (SamplingData[[#This Row],[Running (cumulative) sum]] * ('General Info'!$B$42 -'General Info'!$B$43 + 1)) + 'General Info'!$B$43 - 1, 0)</f>
        <v>34437.905969354215</v>
      </c>
      <c r="AI228" s="100" t="str">
        <f>IF(ISERROR(MATCH(SamplingData[[#This Row],[Batch by Type (p)]],SelectedPrecincts[Batch Name], 0)), "", INDEX(SelectedPrecincts[Draw], MATCH(SamplingData[[#This Row],[Batch by Type (p)]],SelectedPrecincts[Batch Name], 0)))</f>
        <v/>
      </c>
      <c r="AJ228" s="101">
        <f>IF(COUNTIF(SelectedPrecincts[Batch Name],SamplingData[[#This Row],[Batch by Type (p)]]) &lt;&gt; 0, COUNTIF(SelectedPrecincts[Batch Name],SamplingData[[#This Row],[Batch by Type (p)]]), 0)</f>
        <v>0</v>
      </c>
    </row>
    <row r="229" spans="1:36" ht="15" customHeight="1" x14ac:dyDescent="0.35">
      <c r="A229" s="98" t="s">
        <v>440</v>
      </c>
      <c r="B229" s="98">
        <v>88</v>
      </c>
      <c r="C229" s="98">
        <v>27</v>
      </c>
      <c r="D229" s="93">
        <v>11</v>
      </c>
      <c r="E229" s="93"/>
      <c r="F229" s="93"/>
      <c r="G229" s="97"/>
      <c r="H229" s="97"/>
      <c r="I229" s="93"/>
      <c r="J229" s="93"/>
      <c r="K229" s="93"/>
      <c r="L229" s="93"/>
      <c r="M229" s="93"/>
      <c r="N229" s="98">
        <v>1</v>
      </c>
      <c r="O229" s="98">
        <v>4</v>
      </c>
      <c r="P229" s="99">
        <f>SUM(SamplingData[[#This Row],[Winning Candidate]:[Under Votes]])</f>
        <v>131</v>
      </c>
      <c r="Q229" s="100">
        <f>IF(AND(SamplingData[[#This Row],[Total]]&lt;&gt; 0, NOT(ISBLANK(SamplingData[[#This Row],[Losing Candidate]]))),(SamplingData[[#This Row],[Total]]+SamplingData[[#This Row],[Winning Candidate]]-SamplingData[[#This Row],[Losing Candidate]])/(SamplingData[[#Totals],[Winning Candidate]]-SamplingData[[#Totals],[Losing Candidate]]), 0)</f>
        <v>1.2135768914733582E-2</v>
      </c>
      <c r="R229" s="100">
        <f>IF(AND(SamplingData[[#This Row],[Total]]&lt;&gt; 0, NOT(ISBLANK(SamplingData[[#This Row],[Candidate 3]]))),(SamplingData[[#This Row],[Total]]+SamplingData[[#This Row],[Winning Candidate]]-SamplingData[[#This Row],[Candidate 3]])/(SamplingData[[#Totals],[Winning Candidate]]-SamplingData[[#Totals],[Candidate 3]]), 0)</f>
        <v>1.1740799277489276E-2</v>
      </c>
      <c r="S229" s="100">
        <f>IF(AND(SamplingData[[#This Row],[Total]]&lt;&gt; 0, NOT(ISBLANK(SamplingData[[#This Row],[Candidate 4]]))),(SamplingData[[#This Row],[Total]]+SamplingData[[#This Row],[Winning Candidate]]-SamplingData[[#This Row],[Candidate 4]])/(SamplingData[[#Totals],[Winning Candidate]]-SamplingData[[#Totals],[Candidate 4]]), 0)</f>
        <v>0</v>
      </c>
      <c r="T229" s="100">
        <f>IF(AND(SamplingData[[#This Row],[Total]]&lt;&gt; 0, NOT(ISBLANK(SamplingData[[#This Row],[Candidate 5]]))),(SamplingData[[#This Row],[Total]]+SamplingData[[#This Row],[Winning Candidate]]-SamplingData[[#This Row],[Candidate 5]])/(SamplingData[[#Totals],[Winning Candidate]]-SamplingData[[#Totals],[Candidate 5]]), 0)</f>
        <v>0</v>
      </c>
      <c r="U229" s="100">
        <f>IF(AND(SamplingData[[#This Row],[Total]]&lt;&gt; 0, NOT(ISBLANK(SamplingData[[#This Row],[Candidate 6]]))),(SamplingData[[#This Row],[Total]]+SamplingData[[#This Row],[Losing Candidate]]-SamplingData[[#This Row],[Candidate 6]])/(SamplingData[[#Totals],[Winning Candidate]]-SamplingData[[#Totals],[Candidate 6]]), 0)</f>
        <v>0</v>
      </c>
      <c r="V229" s="100">
        <f>IF(AND(SamplingData[[#This Row],[Total]]&lt;&gt; 0, NOT(ISBLANK(SamplingData[[#This Row],[Candidate 7]]))),(SamplingData[[#This Row],[Total]]+SamplingData[[#This Row],[Winning Candidate]]-SamplingData[[#This Row],[Candidate 7]])/(SamplingData[[#Totals],[Winning Candidate]]-SamplingData[[#Totals],[Candidate 7]]), 0)</f>
        <v>0</v>
      </c>
      <c r="W229" s="100">
        <f>IF(AND(SamplingData[[#This Row],[Total]]&lt;&gt; 0, NOT(ISBLANK(SamplingData[[#This Row],[Candidate 8]]))),(SamplingData[[#This Row],[Total]]+SamplingData[[#This Row],[Winning Candidate]]-SamplingData[[#This Row],[Candidate 8]])/(SamplingData[[#Totals],[Winning Candidate]]-SamplingData[[#Totals],[Candidate 8]]), 0)</f>
        <v>0</v>
      </c>
      <c r="X2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9" s="100">
        <f>MAX(SamplingData[[#This Row],[Error Bound (up) - Max. possible relative overstatement - Losing Candidate]:[Error Bound (up) - Max. possible relative overstatement - Candidate 12]])</f>
        <v>1.2135768914733582E-2</v>
      </c>
      <c r="AC229" s="100">
        <f>IF(SamplingData[[#This Row],[Max Error Bound (up)]] = 0,0,SamplingData[[#This Row],[Max Error Bound (up)]]/SamplingData[[#Totals],[Max Error Bound (up)]])</f>
        <v>4.9253691754228201E-3</v>
      </c>
      <c r="AD229" s="104">
        <f>SUM($AC$5:AC229)</f>
        <v>0.34931442886896497</v>
      </c>
      <c r="AE229" s="100" t="str" cm="1">
        <f t="array" ref="AE229">IF(SamplingData[[#This Row],[up/U Selection Probability]] = 0, "Zero", TEXT(SamplingData[[#This Row],[Lower Range]], REPT("0",LEN('General Info'!$B$42))) &amp; " - " &amp; TEXT(SamplingData[[#This Row],[Upper Range]], REPT("0",LEN('General Info'!$B$42))))</f>
        <v>34439 - 34930</v>
      </c>
      <c r="AF229" s="100">
        <f>SamplingData[[#This Row],[Upper Range]]-SamplingData[[#This Row],[Span]]</f>
        <v>34438.905969354215</v>
      </c>
      <c r="AG229" s="100">
        <f>IF(ISNUMBER('General Info'!$B$42), ((SamplingData[[#This Row],[up/U Selection Probability]]) * 'General Info'!$B$44) - 1, 0)</f>
        <v>491.53691754228203</v>
      </c>
      <c r="AH229" s="100">
        <f>IF(ISNUMBER('General Info'!$B$42), (SamplingData[[#This Row],[Running (cumulative) sum]] * ('General Info'!$B$42 -'General Info'!$B$43 + 1)) + 'General Info'!$B$43 - 1, 0)</f>
        <v>34930.442886896497</v>
      </c>
      <c r="AI229" s="100" t="str">
        <f>IF(ISERROR(MATCH(SamplingData[[#This Row],[Batch by Type (p)]],SelectedPrecincts[Batch Name], 0)), "", INDEX(SelectedPrecincts[Draw], MATCH(SamplingData[[#This Row],[Batch by Type (p)]],SelectedPrecincts[Batch Name], 0)))</f>
        <v/>
      </c>
      <c r="AJ229" s="101">
        <f>IF(COUNTIF(SelectedPrecincts[Batch Name],SamplingData[[#This Row],[Batch by Type (p)]]) &lt;&gt; 0, COUNTIF(SelectedPrecincts[Batch Name],SamplingData[[#This Row],[Batch by Type (p)]]), 0)</f>
        <v>0</v>
      </c>
    </row>
    <row r="230" spans="1:36" ht="15" customHeight="1" x14ac:dyDescent="0.35">
      <c r="A230" s="98" t="s">
        <v>441</v>
      </c>
      <c r="B230" s="98">
        <v>95</v>
      </c>
      <c r="C230" s="98">
        <v>44</v>
      </c>
      <c r="D230" s="93">
        <v>14</v>
      </c>
      <c r="E230" s="93"/>
      <c r="F230" s="93"/>
      <c r="G230" s="97"/>
      <c r="H230" s="97"/>
      <c r="I230" s="93"/>
      <c r="J230" s="93"/>
      <c r="K230" s="93"/>
      <c r="L230" s="93"/>
      <c r="M230" s="93"/>
      <c r="N230" s="98">
        <v>0</v>
      </c>
      <c r="O230" s="98">
        <v>3</v>
      </c>
      <c r="P230" s="99">
        <f>SUM(SamplingData[[#This Row],[Winning Candidate]:[Under Votes]])</f>
        <v>156</v>
      </c>
      <c r="Q230" s="100">
        <f>IF(AND(SamplingData[[#This Row],[Total]]&lt;&gt; 0, NOT(ISBLANK(SamplingData[[#This Row],[Losing Candidate]]))),(SamplingData[[#This Row],[Total]]+SamplingData[[#This Row],[Winning Candidate]]-SamplingData[[#This Row],[Losing Candidate]])/(SamplingData[[#Totals],[Winning Candidate]]-SamplingData[[#Totals],[Losing Candidate]]), 0)</f>
        <v>1.3083875861197143E-2</v>
      </c>
      <c r="R230" s="100">
        <f>IF(AND(SamplingData[[#This Row],[Total]]&lt;&gt; 0, NOT(ISBLANK(SamplingData[[#This Row],[Candidate 3]]))),(SamplingData[[#This Row],[Total]]+SamplingData[[#This Row],[Winning Candidate]]-SamplingData[[#This Row],[Candidate 3]])/(SamplingData[[#Totals],[Winning Candidate]]-SamplingData[[#Totals],[Candidate 3]]), 0)</f>
        <v>1.3377737638293068E-2</v>
      </c>
      <c r="S230" s="100">
        <f>IF(AND(SamplingData[[#This Row],[Total]]&lt;&gt; 0, NOT(ISBLANK(SamplingData[[#This Row],[Candidate 4]]))),(SamplingData[[#This Row],[Total]]+SamplingData[[#This Row],[Winning Candidate]]-SamplingData[[#This Row],[Candidate 4]])/(SamplingData[[#Totals],[Winning Candidate]]-SamplingData[[#Totals],[Candidate 4]]), 0)</f>
        <v>0</v>
      </c>
      <c r="T230" s="100">
        <f>IF(AND(SamplingData[[#This Row],[Total]]&lt;&gt; 0, NOT(ISBLANK(SamplingData[[#This Row],[Candidate 5]]))),(SamplingData[[#This Row],[Total]]+SamplingData[[#This Row],[Winning Candidate]]-SamplingData[[#This Row],[Candidate 5]])/(SamplingData[[#Totals],[Winning Candidate]]-SamplingData[[#Totals],[Candidate 5]]), 0)</f>
        <v>0</v>
      </c>
      <c r="U230" s="100">
        <f>IF(AND(SamplingData[[#This Row],[Total]]&lt;&gt; 0, NOT(ISBLANK(SamplingData[[#This Row],[Candidate 6]]))),(SamplingData[[#This Row],[Total]]+SamplingData[[#This Row],[Losing Candidate]]-SamplingData[[#This Row],[Candidate 6]])/(SamplingData[[#Totals],[Winning Candidate]]-SamplingData[[#Totals],[Candidate 6]]), 0)</f>
        <v>0</v>
      </c>
      <c r="V230" s="100">
        <f>IF(AND(SamplingData[[#This Row],[Total]]&lt;&gt; 0, NOT(ISBLANK(SamplingData[[#This Row],[Candidate 7]]))),(SamplingData[[#This Row],[Total]]+SamplingData[[#This Row],[Winning Candidate]]-SamplingData[[#This Row],[Candidate 7]])/(SamplingData[[#Totals],[Winning Candidate]]-SamplingData[[#Totals],[Candidate 7]]), 0)</f>
        <v>0</v>
      </c>
      <c r="W230" s="100">
        <f>IF(AND(SamplingData[[#This Row],[Total]]&lt;&gt; 0, NOT(ISBLANK(SamplingData[[#This Row],[Candidate 8]]))),(SamplingData[[#This Row],[Total]]+SamplingData[[#This Row],[Winning Candidate]]-SamplingData[[#This Row],[Candidate 8]])/(SamplingData[[#Totals],[Winning Candidate]]-SamplingData[[#Totals],[Candidate 8]]), 0)</f>
        <v>0</v>
      </c>
      <c r="X2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0" s="100">
        <f>MAX(SamplingData[[#This Row],[Error Bound (up) - Max. possible relative overstatement - Losing Candidate]:[Error Bound (up) - Max. possible relative overstatement - Candidate 12]])</f>
        <v>1.3377737638293068E-2</v>
      </c>
      <c r="AC230" s="100">
        <f>IF(SamplingData[[#This Row],[Max Error Bound (up)]] = 0,0,SamplingData[[#This Row],[Max Error Bound (up)]]/SamplingData[[#Totals],[Max Error Bound (up)]])</f>
        <v>5.4294290756103161E-3</v>
      </c>
      <c r="AD230" s="104">
        <f>SUM($AC$5:AC230)</f>
        <v>0.3547438579445753</v>
      </c>
      <c r="AE230" s="100" t="str" cm="1">
        <f t="array" ref="AE230">IF(SamplingData[[#This Row],[up/U Selection Probability]] = 0, "Zero", TEXT(SamplingData[[#This Row],[Lower Range]], REPT("0",LEN('General Info'!$B$42))) &amp; " - " &amp; TEXT(SamplingData[[#This Row],[Upper Range]], REPT("0",LEN('General Info'!$B$42))))</f>
        <v>34931 - 35473</v>
      </c>
      <c r="AF230" s="100">
        <f>SamplingData[[#This Row],[Upper Range]]-SamplingData[[#This Row],[Span]]</f>
        <v>34931.442886896497</v>
      </c>
      <c r="AG230" s="100">
        <f>IF(ISNUMBER('General Info'!$B$42), ((SamplingData[[#This Row],[up/U Selection Probability]]) * 'General Info'!$B$44) - 1, 0)</f>
        <v>541.94290756103157</v>
      </c>
      <c r="AH230" s="100">
        <f>IF(ISNUMBER('General Info'!$B$42), (SamplingData[[#This Row],[Running (cumulative) sum]] * ('General Info'!$B$42 -'General Info'!$B$43 + 1)) + 'General Info'!$B$43 - 1, 0)</f>
        <v>35473.385794457528</v>
      </c>
      <c r="AI230" s="100" t="str">
        <f>IF(ISERROR(MATCH(SamplingData[[#This Row],[Batch by Type (p)]],SelectedPrecincts[Batch Name], 0)), "", INDEX(SelectedPrecincts[Draw], MATCH(SamplingData[[#This Row],[Batch by Type (p)]],SelectedPrecincts[Batch Name], 0)))</f>
        <v/>
      </c>
      <c r="AJ230" s="101">
        <f>IF(COUNTIF(SelectedPrecincts[Batch Name],SamplingData[[#This Row],[Batch by Type (p)]]) &lt;&gt; 0, COUNTIF(SelectedPrecincts[Batch Name],SamplingData[[#This Row],[Batch by Type (p)]]), 0)</f>
        <v>0</v>
      </c>
    </row>
    <row r="231" spans="1:36" ht="15" customHeight="1" x14ac:dyDescent="0.35">
      <c r="A231" s="98" t="s">
        <v>442</v>
      </c>
      <c r="B231" s="98">
        <v>119</v>
      </c>
      <c r="C231" s="98">
        <v>27</v>
      </c>
      <c r="D231" s="93">
        <v>5</v>
      </c>
      <c r="E231" s="93"/>
      <c r="F231" s="93"/>
      <c r="G231" s="97"/>
      <c r="H231" s="97"/>
      <c r="I231" s="93"/>
      <c r="J231" s="93"/>
      <c r="K231" s="93"/>
      <c r="L231" s="93"/>
      <c r="M231" s="93"/>
      <c r="N231" s="98">
        <v>0</v>
      </c>
      <c r="O231" s="98">
        <v>3</v>
      </c>
      <c r="P231" s="99">
        <f>SUM(SamplingData[[#This Row],[Winning Candidate]:[Under Votes]])</f>
        <v>154</v>
      </c>
      <c r="Q231" s="100">
        <f>IF(AND(SamplingData[[#This Row],[Total]]&lt;&gt; 0, NOT(ISBLANK(SamplingData[[#This Row],[Losing Candidate]]))),(SamplingData[[#This Row],[Total]]+SamplingData[[#This Row],[Winning Candidate]]-SamplingData[[#This Row],[Losing Candidate]])/(SamplingData[[#Totals],[Winning Candidate]]-SamplingData[[#Totals],[Losing Candidate]]), 0)</f>
        <v>1.5548953922002402E-2</v>
      </c>
      <c r="R231" s="100">
        <f>IF(AND(SamplingData[[#This Row],[Total]]&lt;&gt; 0, NOT(ISBLANK(SamplingData[[#This Row],[Candidate 3]]))),(SamplingData[[#This Row],[Total]]+SamplingData[[#This Row],[Winning Candidate]]-SamplingData[[#This Row],[Candidate 3]])/(SamplingData[[#Totals],[Winning Candidate]]-SamplingData[[#Totals],[Candidate 3]]), 0)</f>
        <v>1.5127568299841951E-2</v>
      </c>
      <c r="S231" s="100">
        <f>IF(AND(SamplingData[[#This Row],[Total]]&lt;&gt; 0, NOT(ISBLANK(SamplingData[[#This Row],[Candidate 4]]))),(SamplingData[[#This Row],[Total]]+SamplingData[[#This Row],[Winning Candidate]]-SamplingData[[#This Row],[Candidate 4]])/(SamplingData[[#Totals],[Winning Candidate]]-SamplingData[[#Totals],[Candidate 4]]), 0)</f>
        <v>0</v>
      </c>
      <c r="T231" s="100">
        <f>IF(AND(SamplingData[[#This Row],[Total]]&lt;&gt; 0, NOT(ISBLANK(SamplingData[[#This Row],[Candidate 5]]))),(SamplingData[[#This Row],[Total]]+SamplingData[[#This Row],[Winning Candidate]]-SamplingData[[#This Row],[Candidate 5]])/(SamplingData[[#Totals],[Winning Candidate]]-SamplingData[[#Totals],[Candidate 5]]), 0)</f>
        <v>0</v>
      </c>
      <c r="U231" s="100">
        <f>IF(AND(SamplingData[[#This Row],[Total]]&lt;&gt; 0, NOT(ISBLANK(SamplingData[[#This Row],[Candidate 6]]))),(SamplingData[[#This Row],[Total]]+SamplingData[[#This Row],[Losing Candidate]]-SamplingData[[#This Row],[Candidate 6]])/(SamplingData[[#Totals],[Winning Candidate]]-SamplingData[[#Totals],[Candidate 6]]), 0)</f>
        <v>0</v>
      </c>
      <c r="V231" s="100">
        <f>IF(AND(SamplingData[[#This Row],[Total]]&lt;&gt; 0, NOT(ISBLANK(SamplingData[[#This Row],[Candidate 7]]))),(SamplingData[[#This Row],[Total]]+SamplingData[[#This Row],[Winning Candidate]]-SamplingData[[#This Row],[Candidate 7]])/(SamplingData[[#Totals],[Winning Candidate]]-SamplingData[[#Totals],[Candidate 7]]), 0)</f>
        <v>0</v>
      </c>
      <c r="W231" s="100">
        <f>IF(AND(SamplingData[[#This Row],[Total]]&lt;&gt; 0, NOT(ISBLANK(SamplingData[[#This Row],[Candidate 8]]))),(SamplingData[[#This Row],[Total]]+SamplingData[[#This Row],[Winning Candidate]]-SamplingData[[#This Row],[Candidate 8]])/(SamplingData[[#Totals],[Winning Candidate]]-SamplingData[[#Totals],[Candidate 8]]), 0)</f>
        <v>0</v>
      </c>
      <c r="X2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1" s="100">
        <f>MAX(SamplingData[[#This Row],[Error Bound (up) - Max. possible relative overstatement - Losing Candidate]:[Error Bound (up) - Max. possible relative overstatement - Candidate 12]])</f>
        <v>1.5548953922002402E-2</v>
      </c>
      <c r="AC231" s="100">
        <f>IF(SamplingData[[#This Row],[Max Error Bound (up)]] = 0,0,SamplingData[[#This Row],[Max Error Bound (up)]]/SamplingData[[#Totals],[Max Error Bound (up)]])</f>
        <v>6.3106292560104887E-3</v>
      </c>
      <c r="AD231" s="104">
        <f>SUM($AC$5:AC231)</f>
        <v>0.36105448720058581</v>
      </c>
      <c r="AE231" s="100" t="str" cm="1">
        <f t="array" ref="AE231">IF(SamplingData[[#This Row],[up/U Selection Probability]] = 0, "Zero", TEXT(SamplingData[[#This Row],[Lower Range]], REPT("0",LEN('General Info'!$B$42))) &amp; " - " &amp; TEXT(SamplingData[[#This Row],[Upper Range]], REPT("0",LEN('General Info'!$B$42))))</f>
        <v>35474 - 36104</v>
      </c>
      <c r="AF231" s="100">
        <f>SamplingData[[#This Row],[Upper Range]]-SamplingData[[#This Row],[Span]]</f>
        <v>35474.385794457528</v>
      </c>
      <c r="AG231" s="100">
        <f>IF(ISNUMBER('General Info'!$B$42), ((SamplingData[[#This Row],[up/U Selection Probability]]) * 'General Info'!$B$44) - 1, 0)</f>
        <v>630.06292560104885</v>
      </c>
      <c r="AH231" s="100">
        <f>IF(ISNUMBER('General Info'!$B$42), (SamplingData[[#This Row],[Running (cumulative) sum]] * ('General Info'!$B$42 -'General Info'!$B$43 + 1)) + 'General Info'!$B$43 - 1, 0)</f>
        <v>36104.448720058579</v>
      </c>
      <c r="AI231" s="100" t="str">
        <f>IF(ISERROR(MATCH(SamplingData[[#This Row],[Batch by Type (p)]],SelectedPrecincts[Batch Name], 0)), "", INDEX(SelectedPrecincts[Draw], MATCH(SamplingData[[#This Row],[Batch by Type (p)]],SelectedPrecincts[Batch Name], 0)))</f>
        <v/>
      </c>
      <c r="AJ231" s="101">
        <f>IF(COUNTIF(SelectedPrecincts[Batch Name],SamplingData[[#This Row],[Batch by Type (p)]]) &lt;&gt; 0, COUNTIF(SelectedPrecincts[Batch Name],SamplingData[[#This Row],[Batch by Type (p)]]), 0)</f>
        <v>0</v>
      </c>
    </row>
    <row r="232" spans="1:36" ht="15" customHeight="1" x14ac:dyDescent="0.35">
      <c r="A232" s="98" t="s">
        <v>443</v>
      </c>
      <c r="B232" s="98">
        <v>85</v>
      </c>
      <c r="C232" s="98">
        <v>40</v>
      </c>
      <c r="D232" s="93">
        <v>19</v>
      </c>
      <c r="E232" s="93"/>
      <c r="F232" s="93"/>
      <c r="G232" s="97"/>
      <c r="H232" s="97"/>
      <c r="I232" s="93"/>
      <c r="J232" s="93"/>
      <c r="K232" s="93"/>
      <c r="L232" s="93"/>
      <c r="M232" s="93"/>
      <c r="N232" s="98">
        <v>0</v>
      </c>
      <c r="O232" s="98">
        <v>5</v>
      </c>
      <c r="P232" s="99">
        <f>SUM(SamplingData[[#This Row],[Winning Candidate]:[Under Votes]])</f>
        <v>149</v>
      </c>
      <c r="Q232" s="100">
        <f>IF(AND(SamplingData[[#This Row],[Total]]&lt;&gt; 0, NOT(ISBLANK(SamplingData[[#This Row],[Losing Candidate]]))),(SamplingData[[#This Row],[Total]]+SamplingData[[#This Row],[Winning Candidate]]-SamplingData[[#This Row],[Losing Candidate]])/(SamplingData[[#Totals],[Winning Candidate]]-SamplingData[[#Totals],[Losing Candidate]]), 0)</f>
        <v>1.2262183174262057E-2</v>
      </c>
      <c r="R232" s="100">
        <f>IF(AND(SamplingData[[#This Row],[Total]]&lt;&gt; 0, NOT(ISBLANK(SamplingData[[#This Row],[Candidate 3]]))),(SamplingData[[#This Row],[Total]]+SamplingData[[#This Row],[Winning Candidate]]-SamplingData[[#This Row],[Candidate 3]])/(SamplingData[[#Totals],[Winning Candidate]]-SamplingData[[#Totals],[Candidate 3]]), 0)</f>
        <v>1.2135922330097087E-2</v>
      </c>
      <c r="S232" s="100">
        <f>IF(AND(SamplingData[[#This Row],[Total]]&lt;&gt; 0, NOT(ISBLANK(SamplingData[[#This Row],[Candidate 4]]))),(SamplingData[[#This Row],[Total]]+SamplingData[[#This Row],[Winning Candidate]]-SamplingData[[#This Row],[Candidate 4]])/(SamplingData[[#Totals],[Winning Candidate]]-SamplingData[[#Totals],[Candidate 4]]), 0)</f>
        <v>0</v>
      </c>
      <c r="T232" s="100">
        <f>IF(AND(SamplingData[[#This Row],[Total]]&lt;&gt; 0, NOT(ISBLANK(SamplingData[[#This Row],[Candidate 5]]))),(SamplingData[[#This Row],[Total]]+SamplingData[[#This Row],[Winning Candidate]]-SamplingData[[#This Row],[Candidate 5]])/(SamplingData[[#Totals],[Winning Candidate]]-SamplingData[[#Totals],[Candidate 5]]), 0)</f>
        <v>0</v>
      </c>
      <c r="U232" s="100">
        <f>IF(AND(SamplingData[[#This Row],[Total]]&lt;&gt; 0, NOT(ISBLANK(SamplingData[[#This Row],[Candidate 6]]))),(SamplingData[[#This Row],[Total]]+SamplingData[[#This Row],[Losing Candidate]]-SamplingData[[#This Row],[Candidate 6]])/(SamplingData[[#Totals],[Winning Candidate]]-SamplingData[[#Totals],[Candidate 6]]), 0)</f>
        <v>0</v>
      </c>
      <c r="V232" s="100">
        <f>IF(AND(SamplingData[[#This Row],[Total]]&lt;&gt; 0, NOT(ISBLANK(SamplingData[[#This Row],[Candidate 7]]))),(SamplingData[[#This Row],[Total]]+SamplingData[[#This Row],[Winning Candidate]]-SamplingData[[#This Row],[Candidate 7]])/(SamplingData[[#Totals],[Winning Candidate]]-SamplingData[[#Totals],[Candidate 7]]), 0)</f>
        <v>0</v>
      </c>
      <c r="W232" s="100">
        <f>IF(AND(SamplingData[[#This Row],[Total]]&lt;&gt; 0, NOT(ISBLANK(SamplingData[[#This Row],[Candidate 8]]))),(SamplingData[[#This Row],[Total]]+SamplingData[[#This Row],[Winning Candidate]]-SamplingData[[#This Row],[Candidate 8]])/(SamplingData[[#Totals],[Winning Candidate]]-SamplingData[[#Totals],[Candidate 8]]), 0)</f>
        <v>0</v>
      </c>
      <c r="X2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2" s="100">
        <f>MAX(SamplingData[[#This Row],[Error Bound (up) - Max. possible relative overstatement - Losing Candidate]:[Error Bound (up) - Max. possible relative overstatement - Candidate 12]])</f>
        <v>1.2262183174262057E-2</v>
      </c>
      <c r="AC232" s="100">
        <f>IF(SamplingData[[#This Row],[Max Error Bound (up)]] = 0,0,SamplingData[[#This Row],[Max Error Bound (up)]]/SamplingData[[#Totals],[Max Error Bound (up)]])</f>
        <v>4.9766751043334749E-3</v>
      </c>
      <c r="AD232" s="104">
        <f>SUM($AC$5:AC232)</f>
        <v>0.36603116230491928</v>
      </c>
      <c r="AE232" s="100" t="str" cm="1">
        <f t="array" ref="AE232">IF(SamplingData[[#This Row],[up/U Selection Probability]] = 0, "Zero", TEXT(SamplingData[[#This Row],[Lower Range]], REPT("0",LEN('General Info'!$B$42))) &amp; " - " &amp; TEXT(SamplingData[[#This Row],[Upper Range]], REPT("0",LEN('General Info'!$B$42))))</f>
        <v>36105 - 36602</v>
      </c>
      <c r="AF232" s="100">
        <f>SamplingData[[#This Row],[Upper Range]]-SamplingData[[#This Row],[Span]]</f>
        <v>36105.448720058579</v>
      </c>
      <c r="AG232" s="100">
        <f>IF(ISNUMBER('General Info'!$B$42), ((SamplingData[[#This Row],[up/U Selection Probability]]) * 'General Info'!$B$44) - 1, 0)</f>
        <v>496.6675104333475</v>
      </c>
      <c r="AH232" s="100">
        <f>IF(ISNUMBER('General Info'!$B$42), (SamplingData[[#This Row],[Running (cumulative) sum]] * ('General Info'!$B$42 -'General Info'!$B$43 + 1)) + 'General Info'!$B$43 - 1, 0)</f>
        <v>36602.116230491927</v>
      </c>
      <c r="AI232" s="100" t="str">
        <f>IF(ISERROR(MATCH(SamplingData[[#This Row],[Batch by Type (p)]],SelectedPrecincts[Batch Name], 0)), "", INDEX(SelectedPrecincts[Draw], MATCH(SamplingData[[#This Row],[Batch by Type (p)]],SelectedPrecincts[Batch Name], 0)))</f>
        <v/>
      </c>
      <c r="AJ232" s="101">
        <f>IF(COUNTIF(SelectedPrecincts[Batch Name],SamplingData[[#This Row],[Batch by Type (p)]]) &lt;&gt; 0, COUNTIF(SelectedPrecincts[Batch Name],SamplingData[[#This Row],[Batch by Type (p)]]), 0)</f>
        <v>0</v>
      </c>
    </row>
    <row r="233" spans="1:36" ht="15" customHeight="1" x14ac:dyDescent="0.35">
      <c r="A233" s="98" t="s">
        <v>444</v>
      </c>
      <c r="B233" s="98">
        <v>131</v>
      </c>
      <c r="C233" s="98">
        <v>34</v>
      </c>
      <c r="D233" s="93">
        <v>15</v>
      </c>
      <c r="E233" s="93"/>
      <c r="F233" s="93"/>
      <c r="G233" s="97"/>
      <c r="H233" s="97"/>
      <c r="I233" s="93"/>
      <c r="J233" s="93"/>
      <c r="K233" s="93"/>
      <c r="L233" s="93"/>
      <c r="M233" s="93"/>
      <c r="N233" s="98">
        <v>0</v>
      </c>
      <c r="O233" s="98">
        <v>3</v>
      </c>
      <c r="P233" s="99">
        <f>SUM(SamplingData[[#This Row],[Winning Candidate]:[Under Votes]])</f>
        <v>183</v>
      </c>
      <c r="Q233" s="100">
        <f>IF(AND(SamplingData[[#This Row],[Total]]&lt;&gt; 0, NOT(ISBLANK(SamplingData[[#This Row],[Losing Candidate]]))),(SamplingData[[#This Row],[Total]]+SamplingData[[#This Row],[Winning Candidate]]-SamplingData[[#This Row],[Losing Candidate]])/(SamplingData[[#Totals],[Winning Candidate]]-SamplingData[[#Totals],[Losing Candidate]]), 0)</f>
        <v>1.7697996333986474E-2</v>
      </c>
      <c r="R233" s="100">
        <f>IF(AND(SamplingData[[#This Row],[Total]]&lt;&gt; 0, NOT(ISBLANK(SamplingData[[#This Row],[Candidate 3]]))),(SamplingData[[#This Row],[Total]]+SamplingData[[#This Row],[Winning Candidate]]-SamplingData[[#This Row],[Candidate 3]])/(SamplingData[[#Totals],[Winning Candidate]]-SamplingData[[#Totals],[Candidate 3]]), 0)</f>
        <v>1.6877398961390833E-2</v>
      </c>
      <c r="S233" s="100">
        <f>IF(AND(SamplingData[[#This Row],[Total]]&lt;&gt; 0, NOT(ISBLANK(SamplingData[[#This Row],[Candidate 4]]))),(SamplingData[[#This Row],[Total]]+SamplingData[[#This Row],[Winning Candidate]]-SamplingData[[#This Row],[Candidate 4]])/(SamplingData[[#Totals],[Winning Candidate]]-SamplingData[[#Totals],[Candidate 4]]), 0)</f>
        <v>0</v>
      </c>
      <c r="T233" s="100">
        <f>IF(AND(SamplingData[[#This Row],[Total]]&lt;&gt; 0, NOT(ISBLANK(SamplingData[[#This Row],[Candidate 5]]))),(SamplingData[[#This Row],[Total]]+SamplingData[[#This Row],[Winning Candidate]]-SamplingData[[#This Row],[Candidate 5]])/(SamplingData[[#Totals],[Winning Candidate]]-SamplingData[[#Totals],[Candidate 5]]), 0)</f>
        <v>0</v>
      </c>
      <c r="U233" s="100">
        <f>IF(AND(SamplingData[[#This Row],[Total]]&lt;&gt; 0, NOT(ISBLANK(SamplingData[[#This Row],[Candidate 6]]))),(SamplingData[[#This Row],[Total]]+SamplingData[[#This Row],[Losing Candidate]]-SamplingData[[#This Row],[Candidate 6]])/(SamplingData[[#Totals],[Winning Candidate]]-SamplingData[[#Totals],[Candidate 6]]), 0)</f>
        <v>0</v>
      </c>
      <c r="V233" s="100">
        <f>IF(AND(SamplingData[[#This Row],[Total]]&lt;&gt; 0, NOT(ISBLANK(SamplingData[[#This Row],[Candidate 7]]))),(SamplingData[[#This Row],[Total]]+SamplingData[[#This Row],[Winning Candidate]]-SamplingData[[#This Row],[Candidate 7]])/(SamplingData[[#Totals],[Winning Candidate]]-SamplingData[[#Totals],[Candidate 7]]), 0)</f>
        <v>0</v>
      </c>
      <c r="W233" s="100">
        <f>IF(AND(SamplingData[[#This Row],[Total]]&lt;&gt; 0, NOT(ISBLANK(SamplingData[[#This Row],[Candidate 8]]))),(SamplingData[[#This Row],[Total]]+SamplingData[[#This Row],[Winning Candidate]]-SamplingData[[#This Row],[Candidate 8]])/(SamplingData[[#Totals],[Winning Candidate]]-SamplingData[[#Totals],[Candidate 8]]), 0)</f>
        <v>0</v>
      </c>
      <c r="X2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3" s="100">
        <f>MAX(SamplingData[[#This Row],[Error Bound (up) - Max. possible relative overstatement - Losing Candidate]:[Error Bound (up) - Max. possible relative overstatement - Candidate 12]])</f>
        <v>1.7697996333986474E-2</v>
      </c>
      <c r="AC233" s="100">
        <f>IF(SamplingData[[#This Row],[Max Error Bound (up)]] = 0,0,SamplingData[[#This Row],[Max Error Bound (up)]]/SamplingData[[#Totals],[Max Error Bound (up)]])</f>
        <v>7.1828300474916134E-3</v>
      </c>
      <c r="AD233" s="104">
        <f>SUM($AC$5:AC233)</f>
        <v>0.37321399235241087</v>
      </c>
      <c r="AE233" s="100" t="str" cm="1">
        <f t="array" ref="AE233">IF(SamplingData[[#This Row],[up/U Selection Probability]] = 0, "Zero", TEXT(SamplingData[[#This Row],[Lower Range]], REPT("0",LEN('General Info'!$B$42))) &amp; " - " &amp; TEXT(SamplingData[[#This Row],[Upper Range]], REPT("0",LEN('General Info'!$B$42))))</f>
        <v>36603 - 37320</v>
      </c>
      <c r="AF233" s="100">
        <f>SamplingData[[#This Row],[Upper Range]]-SamplingData[[#This Row],[Span]]</f>
        <v>36603.116230491927</v>
      </c>
      <c r="AG233" s="100">
        <f>IF(ISNUMBER('General Info'!$B$42), ((SamplingData[[#This Row],[up/U Selection Probability]]) * 'General Info'!$B$44) - 1, 0)</f>
        <v>717.28300474916136</v>
      </c>
      <c r="AH233" s="100">
        <f>IF(ISNUMBER('General Info'!$B$42), (SamplingData[[#This Row],[Running (cumulative) sum]] * ('General Info'!$B$42 -'General Info'!$B$43 + 1)) + 'General Info'!$B$43 - 1, 0)</f>
        <v>37320.399235241086</v>
      </c>
      <c r="AI233" s="100" t="str">
        <f>IF(ISERROR(MATCH(SamplingData[[#This Row],[Batch by Type (p)]],SelectedPrecincts[Batch Name], 0)), "", INDEX(SelectedPrecincts[Draw], MATCH(SamplingData[[#This Row],[Batch by Type (p)]],SelectedPrecincts[Batch Name], 0)))</f>
        <v/>
      </c>
      <c r="AJ233" s="101">
        <f>IF(COUNTIF(SelectedPrecincts[Batch Name],SamplingData[[#This Row],[Batch by Type (p)]]) &lt;&gt; 0, COUNTIF(SelectedPrecincts[Batch Name],SamplingData[[#This Row],[Batch by Type (p)]]), 0)</f>
        <v>0</v>
      </c>
    </row>
    <row r="234" spans="1:36" ht="15" customHeight="1" x14ac:dyDescent="0.35">
      <c r="A234" s="98" t="s">
        <v>445</v>
      </c>
      <c r="B234" s="98">
        <v>108</v>
      </c>
      <c r="C234" s="98">
        <v>20</v>
      </c>
      <c r="D234" s="93">
        <v>5</v>
      </c>
      <c r="E234" s="93"/>
      <c r="F234" s="93"/>
      <c r="G234" s="97"/>
      <c r="H234" s="97"/>
      <c r="I234" s="93"/>
      <c r="J234" s="93"/>
      <c r="K234" s="93"/>
      <c r="L234" s="93"/>
      <c r="M234" s="93"/>
      <c r="N234" s="98">
        <v>0</v>
      </c>
      <c r="O234" s="98">
        <v>2</v>
      </c>
      <c r="P234" s="99">
        <f>SUM(SamplingData[[#This Row],[Winning Candidate]:[Under Votes]])</f>
        <v>135</v>
      </c>
      <c r="Q234" s="100">
        <f>IF(AND(SamplingData[[#This Row],[Total]]&lt;&gt; 0, NOT(ISBLANK(SamplingData[[#This Row],[Losing Candidate]]))),(SamplingData[[#This Row],[Total]]+SamplingData[[#This Row],[Winning Candidate]]-SamplingData[[#This Row],[Losing Candidate]])/(SamplingData[[#Totals],[Winning Candidate]]-SamplingData[[#Totals],[Losing Candidate]]), 0)</f>
        <v>1.4095189937424941E-2</v>
      </c>
      <c r="R234" s="100">
        <f>IF(AND(SamplingData[[#This Row],[Total]]&lt;&gt; 0, NOT(ISBLANK(SamplingData[[#This Row],[Candidate 3]]))),(SamplingData[[#This Row],[Total]]+SamplingData[[#This Row],[Winning Candidate]]-SamplingData[[#This Row],[Candidate 3]])/(SamplingData[[#Totals],[Winning Candidate]]-SamplingData[[#Totals],[Candidate 3]]), 0)</f>
        <v>1.3434183788665613E-2</v>
      </c>
      <c r="S234" s="100">
        <f>IF(AND(SamplingData[[#This Row],[Total]]&lt;&gt; 0, NOT(ISBLANK(SamplingData[[#This Row],[Candidate 4]]))),(SamplingData[[#This Row],[Total]]+SamplingData[[#This Row],[Winning Candidate]]-SamplingData[[#This Row],[Candidate 4]])/(SamplingData[[#Totals],[Winning Candidate]]-SamplingData[[#Totals],[Candidate 4]]), 0)</f>
        <v>0</v>
      </c>
      <c r="T234" s="100">
        <f>IF(AND(SamplingData[[#This Row],[Total]]&lt;&gt; 0, NOT(ISBLANK(SamplingData[[#This Row],[Candidate 5]]))),(SamplingData[[#This Row],[Total]]+SamplingData[[#This Row],[Winning Candidate]]-SamplingData[[#This Row],[Candidate 5]])/(SamplingData[[#Totals],[Winning Candidate]]-SamplingData[[#Totals],[Candidate 5]]), 0)</f>
        <v>0</v>
      </c>
      <c r="U234" s="100">
        <f>IF(AND(SamplingData[[#This Row],[Total]]&lt;&gt; 0, NOT(ISBLANK(SamplingData[[#This Row],[Candidate 6]]))),(SamplingData[[#This Row],[Total]]+SamplingData[[#This Row],[Losing Candidate]]-SamplingData[[#This Row],[Candidate 6]])/(SamplingData[[#Totals],[Winning Candidate]]-SamplingData[[#Totals],[Candidate 6]]), 0)</f>
        <v>0</v>
      </c>
      <c r="V234" s="100">
        <f>IF(AND(SamplingData[[#This Row],[Total]]&lt;&gt; 0, NOT(ISBLANK(SamplingData[[#This Row],[Candidate 7]]))),(SamplingData[[#This Row],[Total]]+SamplingData[[#This Row],[Winning Candidate]]-SamplingData[[#This Row],[Candidate 7]])/(SamplingData[[#Totals],[Winning Candidate]]-SamplingData[[#Totals],[Candidate 7]]), 0)</f>
        <v>0</v>
      </c>
      <c r="W234" s="100">
        <f>IF(AND(SamplingData[[#This Row],[Total]]&lt;&gt; 0, NOT(ISBLANK(SamplingData[[#This Row],[Candidate 8]]))),(SamplingData[[#This Row],[Total]]+SamplingData[[#This Row],[Winning Candidate]]-SamplingData[[#This Row],[Candidate 8]])/(SamplingData[[#Totals],[Winning Candidate]]-SamplingData[[#Totals],[Candidate 8]]), 0)</f>
        <v>0</v>
      </c>
      <c r="X2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4" s="100">
        <f>MAX(SamplingData[[#This Row],[Error Bound (up) - Max. possible relative overstatement - Losing Candidate]:[Error Bound (up) - Max. possible relative overstatement - Candidate 12]])</f>
        <v>1.4095189937424941E-2</v>
      </c>
      <c r="AC234" s="100">
        <f>IF(SamplingData[[#This Row],[Max Error Bound (up)]] = 0,0,SamplingData[[#This Row],[Max Error Bound (up)]]/SamplingData[[#Totals],[Max Error Bound (up)]])</f>
        <v>5.7206110735379626E-3</v>
      </c>
      <c r="AD234" s="104">
        <f>SUM($AC$5:AC234)</f>
        <v>0.37893460342594881</v>
      </c>
      <c r="AE234" s="100" t="str" cm="1">
        <f t="array" ref="AE234">IF(SamplingData[[#This Row],[up/U Selection Probability]] = 0, "Zero", TEXT(SamplingData[[#This Row],[Lower Range]], REPT("0",LEN('General Info'!$B$42))) &amp; " - " &amp; TEXT(SamplingData[[#This Row],[Upper Range]], REPT("0",LEN('General Info'!$B$42))))</f>
        <v>37321 - 37892</v>
      </c>
      <c r="AF234" s="100">
        <f>SamplingData[[#This Row],[Upper Range]]-SamplingData[[#This Row],[Span]]</f>
        <v>37321.399235241086</v>
      </c>
      <c r="AG234" s="100">
        <f>IF(ISNUMBER('General Info'!$B$42), ((SamplingData[[#This Row],[up/U Selection Probability]]) * 'General Info'!$B$44) - 1, 0)</f>
        <v>571.06110735379627</v>
      </c>
      <c r="AH234" s="100">
        <f>IF(ISNUMBER('General Info'!$B$42), (SamplingData[[#This Row],[Running (cumulative) sum]] * ('General Info'!$B$42 -'General Info'!$B$43 + 1)) + 'General Info'!$B$43 - 1, 0)</f>
        <v>37892.460342594881</v>
      </c>
      <c r="AI234" s="100" t="str">
        <f>IF(ISERROR(MATCH(SamplingData[[#This Row],[Batch by Type (p)]],SelectedPrecincts[Batch Name], 0)), "", INDEX(SelectedPrecincts[Draw], MATCH(SamplingData[[#This Row],[Batch by Type (p)]],SelectedPrecincts[Batch Name], 0)))</f>
        <v/>
      </c>
      <c r="AJ234" s="101">
        <f>IF(COUNTIF(SelectedPrecincts[Batch Name],SamplingData[[#This Row],[Batch by Type (p)]]) &lt;&gt; 0, COUNTIF(SelectedPrecincts[Batch Name],SamplingData[[#This Row],[Batch by Type (p)]]), 0)</f>
        <v>0</v>
      </c>
    </row>
    <row r="235" spans="1:36" ht="15" customHeight="1" x14ac:dyDescent="0.35">
      <c r="A235" s="98" t="s">
        <v>446</v>
      </c>
      <c r="B235" s="98">
        <v>137</v>
      </c>
      <c r="C235" s="98">
        <v>38</v>
      </c>
      <c r="D235" s="93">
        <v>16</v>
      </c>
      <c r="E235" s="93"/>
      <c r="F235" s="93"/>
      <c r="G235" s="97"/>
      <c r="H235" s="97"/>
      <c r="I235" s="93"/>
      <c r="J235" s="93"/>
      <c r="K235" s="93"/>
      <c r="L235" s="93"/>
      <c r="M235" s="93"/>
      <c r="N235" s="98">
        <v>0</v>
      </c>
      <c r="O235" s="98">
        <v>2</v>
      </c>
      <c r="P235" s="99">
        <f>SUM(SamplingData[[#This Row],[Winning Candidate]:[Under Votes]])</f>
        <v>193</v>
      </c>
      <c r="Q235" s="100">
        <f>IF(AND(SamplingData[[#This Row],[Total]]&lt;&gt; 0, NOT(ISBLANK(SamplingData[[#This Row],[Losing Candidate]]))),(SamplingData[[#This Row],[Total]]+SamplingData[[#This Row],[Winning Candidate]]-SamplingData[[#This Row],[Losing Candidate]])/(SamplingData[[#Totals],[Winning Candidate]]-SamplingData[[#Totals],[Losing Candidate]]), 0)</f>
        <v>1.8456481891157322E-2</v>
      </c>
      <c r="R235" s="100">
        <f>IF(AND(SamplingData[[#This Row],[Total]]&lt;&gt; 0, NOT(ISBLANK(SamplingData[[#This Row],[Candidate 3]]))),(SamplingData[[#This Row],[Total]]+SamplingData[[#This Row],[Winning Candidate]]-SamplingData[[#This Row],[Candidate 3]])/(SamplingData[[#Totals],[Winning Candidate]]-SamplingData[[#Totals],[Candidate 3]]), 0)</f>
        <v>1.7724091216979002E-2</v>
      </c>
      <c r="S235" s="100">
        <f>IF(AND(SamplingData[[#This Row],[Total]]&lt;&gt; 0, NOT(ISBLANK(SamplingData[[#This Row],[Candidate 4]]))),(SamplingData[[#This Row],[Total]]+SamplingData[[#This Row],[Winning Candidate]]-SamplingData[[#This Row],[Candidate 4]])/(SamplingData[[#Totals],[Winning Candidate]]-SamplingData[[#Totals],[Candidate 4]]), 0)</f>
        <v>0</v>
      </c>
      <c r="T235" s="100">
        <f>IF(AND(SamplingData[[#This Row],[Total]]&lt;&gt; 0, NOT(ISBLANK(SamplingData[[#This Row],[Candidate 5]]))),(SamplingData[[#This Row],[Total]]+SamplingData[[#This Row],[Winning Candidate]]-SamplingData[[#This Row],[Candidate 5]])/(SamplingData[[#Totals],[Winning Candidate]]-SamplingData[[#Totals],[Candidate 5]]), 0)</f>
        <v>0</v>
      </c>
      <c r="U235" s="100">
        <f>IF(AND(SamplingData[[#This Row],[Total]]&lt;&gt; 0, NOT(ISBLANK(SamplingData[[#This Row],[Candidate 6]]))),(SamplingData[[#This Row],[Total]]+SamplingData[[#This Row],[Losing Candidate]]-SamplingData[[#This Row],[Candidate 6]])/(SamplingData[[#Totals],[Winning Candidate]]-SamplingData[[#Totals],[Candidate 6]]), 0)</f>
        <v>0</v>
      </c>
      <c r="V235" s="100">
        <f>IF(AND(SamplingData[[#This Row],[Total]]&lt;&gt; 0, NOT(ISBLANK(SamplingData[[#This Row],[Candidate 7]]))),(SamplingData[[#This Row],[Total]]+SamplingData[[#This Row],[Winning Candidate]]-SamplingData[[#This Row],[Candidate 7]])/(SamplingData[[#Totals],[Winning Candidate]]-SamplingData[[#Totals],[Candidate 7]]), 0)</f>
        <v>0</v>
      </c>
      <c r="W235" s="100">
        <f>IF(AND(SamplingData[[#This Row],[Total]]&lt;&gt; 0, NOT(ISBLANK(SamplingData[[#This Row],[Candidate 8]]))),(SamplingData[[#This Row],[Total]]+SamplingData[[#This Row],[Winning Candidate]]-SamplingData[[#This Row],[Candidate 8]])/(SamplingData[[#Totals],[Winning Candidate]]-SamplingData[[#Totals],[Candidate 8]]), 0)</f>
        <v>0</v>
      </c>
      <c r="X2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5" s="100">
        <f>MAX(SamplingData[[#This Row],[Error Bound (up) - Max. possible relative overstatement - Losing Candidate]:[Error Bound (up) - Max. possible relative overstatement - Candidate 12]])</f>
        <v>1.8456481891157322E-2</v>
      </c>
      <c r="AC235" s="100">
        <f>IF(SamplingData[[#This Row],[Max Error Bound (up)]] = 0,0,SamplingData[[#This Row],[Max Error Bound (up)]]/SamplingData[[#Totals],[Max Error Bound (up)]])</f>
        <v>7.4906656209555392E-3</v>
      </c>
      <c r="AD235" s="104">
        <f>SUM($AC$5:AC235)</f>
        <v>0.38642526904690433</v>
      </c>
      <c r="AE235" s="100" t="str" cm="1">
        <f t="array" ref="AE235">IF(SamplingData[[#This Row],[up/U Selection Probability]] = 0, "Zero", TEXT(SamplingData[[#This Row],[Lower Range]], REPT("0",LEN('General Info'!$B$42))) &amp; " - " &amp; TEXT(SamplingData[[#This Row],[Upper Range]], REPT("0",LEN('General Info'!$B$42))))</f>
        <v>37893 - 38642</v>
      </c>
      <c r="AF235" s="100">
        <f>SamplingData[[#This Row],[Upper Range]]-SamplingData[[#This Row],[Span]]</f>
        <v>37893.460342594881</v>
      </c>
      <c r="AG235" s="100">
        <f>IF(ISNUMBER('General Info'!$B$42), ((SamplingData[[#This Row],[up/U Selection Probability]]) * 'General Info'!$B$44) - 1, 0)</f>
        <v>748.06656209555388</v>
      </c>
      <c r="AH235" s="100">
        <f>IF(ISNUMBER('General Info'!$B$42), (SamplingData[[#This Row],[Running (cumulative) sum]] * ('General Info'!$B$42 -'General Info'!$B$43 + 1)) + 'General Info'!$B$43 - 1, 0)</f>
        <v>38641.526904690436</v>
      </c>
      <c r="AI235" s="100" t="str">
        <f>IF(ISERROR(MATCH(SamplingData[[#This Row],[Batch by Type (p)]],SelectedPrecincts[Batch Name], 0)), "", INDEX(SelectedPrecincts[Draw], MATCH(SamplingData[[#This Row],[Batch by Type (p)]],SelectedPrecincts[Batch Name], 0)))</f>
        <v/>
      </c>
      <c r="AJ235" s="101">
        <f>IF(COUNTIF(SelectedPrecincts[Batch Name],SamplingData[[#This Row],[Batch by Type (p)]]) &lt;&gt; 0, COUNTIF(SelectedPrecincts[Batch Name],SamplingData[[#This Row],[Batch by Type (p)]]), 0)</f>
        <v>0</v>
      </c>
    </row>
    <row r="236" spans="1:36" ht="15" customHeight="1" x14ac:dyDescent="0.35">
      <c r="A236" s="98" t="s">
        <v>447</v>
      </c>
      <c r="B236" s="98">
        <v>135</v>
      </c>
      <c r="C236" s="98">
        <v>23</v>
      </c>
      <c r="D236" s="93">
        <v>13</v>
      </c>
      <c r="E236" s="93"/>
      <c r="F236" s="93"/>
      <c r="G236" s="97"/>
      <c r="H236" s="97"/>
      <c r="I236" s="93"/>
      <c r="J236" s="93"/>
      <c r="K236" s="93"/>
      <c r="L236" s="93"/>
      <c r="M236" s="93"/>
      <c r="N236" s="98">
        <v>0</v>
      </c>
      <c r="O236" s="98">
        <v>4</v>
      </c>
      <c r="P236" s="99">
        <f>SUM(SamplingData[[#This Row],[Winning Candidate]:[Under Votes]])</f>
        <v>175</v>
      </c>
      <c r="Q236" s="100">
        <f>IF(AND(SamplingData[[#This Row],[Total]]&lt;&gt; 0, NOT(ISBLANK(SamplingData[[#This Row],[Losing Candidate]]))),(SamplingData[[#This Row],[Total]]+SamplingData[[#This Row],[Winning Candidate]]-SamplingData[[#This Row],[Losing Candidate]])/(SamplingData[[#Totals],[Winning Candidate]]-SamplingData[[#Totals],[Losing Candidate]]), 0)</f>
        <v>1.8140446242336135E-2</v>
      </c>
      <c r="R236" s="100">
        <f>IF(AND(SamplingData[[#This Row],[Total]]&lt;&gt; 0, NOT(ISBLANK(SamplingData[[#This Row],[Candidate 3]]))),(SamplingData[[#This Row],[Total]]+SamplingData[[#This Row],[Winning Candidate]]-SamplingData[[#This Row],[Candidate 3]])/(SamplingData[[#Totals],[Winning Candidate]]-SamplingData[[#Totals],[Candidate 3]]), 0)</f>
        <v>1.6764506660645745E-2</v>
      </c>
      <c r="S236" s="100">
        <f>IF(AND(SamplingData[[#This Row],[Total]]&lt;&gt; 0, NOT(ISBLANK(SamplingData[[#This Row],[Candidate 4]]))),(SamplingData[[#This Row],[Total]]+SamplingData[[#This Row],[Winning Candidate]]-SamplingData[[#This Row],[Candidate 4]])/(SamplingData[[#Totals],[Winning Candidate]]-SamplingData[[#Totals],[Candidate 4]]), 0)</f>
        <v>0</v>
      </c>
      <c r="T236" s="100">
        <f>IF(AND(SamplingData[[#This Row],[Total]]&lt;&gt; 0, NOT(ISBLANK(SamplingData[[#This Row],[Candidate 5]]))),(SamplingData[[#This Row],[Total]]+SamplingData[[#This Row],[Winning Candidate]]-SamplingData[[#This Row],[Candidate 5]])/(SamplingData[[#Totals],[Winning Candidate]]-SamplingData[[#Totals],[Candidate 5]]), 0)</f>
        <v>0</v>
      </c>
      <c r="U236" s="100">
        <f>IF(AND(SamplingData[[#This Row],[Total]]&lt;&gt; 0, NOT(ISBLANK(SamplingData[[#This Row],[Candidate 6]]))),(SamplingData[[#This Row],[Total]]+SamplingData[[#This Row],[Losing Candidate]]-SamplingData[[#This Row],[Candidate 6]])/(SamplingData[[#Totals],[Winning Candidate]]-SamplingData[[#Totals],[Candidate 6]]), 0)</f>
        <v>0</v>
      </c>
      <c r="V236" s="100">
        <f>IF(AND(SamplingData[[#This Row],[Total]]&lt;&gt; 0, NOT(ISBLANK(SamplingData[[#This Row],[Candidate 7]]))),(SamplingData[[#This Row],[Total]]+SamplingData[[#This Row],[Winning Candidate]]-SamplingData[[#This Row],[Candidate 7]])/(SamplingData[[#Totals],[Winning Candidate]]-SamplingData[[#Totals],[Candidate 7]]), 0)</f>
        <v>0</v>
      </c>
      <c r="W236" s="100">
        <f>IF(AND(SamplingData[[#This Row],[Total]]&lt;&gt; 0, NOT(ISBLANK(SamplingData[[#This Row],[Candidate 8]]))),(SamplingData[[#This Row],[Total]]+SamplingData[[#This Row],[Winning Candidate]]-SamplingData[[#This Row],[Candidate 8]])/(SamplingData[[#Totals],[Winning Candidate]]-SamplingData[[#Totals],[Candidate 8]]), 0)</f>
        <v>0</v>
      </c>
      <c r="X2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6" s="100">
        <f>MAX(SamplingData[[#This Row],[Error Bound (up) - Max. possible relative overstatement - Losing Candidate]:[Error Bound (up) - Max. possible relative overstatement - Candidate 12]])</f>
        <v>1.8140446242336135E-2</v>
      </c>
      <c r="AC236" s="100">
        <f>IF(SamplingData[[#This Row],[Max Error Bound (up)]] = 0,0,SamplingData[[#This Row],[Max Error Bound (up)]]/SamplingData[[#Totals],[Max Error Bound (up)]])</f>
        <v>7.3624007986789032E-3</v>
      </c>
      <c r="AD236" s="104">
        <f>SUM($AC$5:AC236)</f>
        <v>0.39378766984558322</v>
      </c>
      <c r="AE236" s="100" t="str" cm="1">
        <f t="array" ref="AE236">IF(SamplingData[[#This Row],[up/U Selection Probability]] = 0, "Zero", TEXT(SamplingData[[#This Row],[Lower Range]], REPT("0",LEN('General Info'!$B$42))) &amp; " - " &amp; TEXT(SamplingData[[#This Row],[Upper Range]], REPT("0",LEN('General Info'!$B$42))))</f>
        <v>38643 - 39378</v>
      </c>
      <c r="AF236" s="100">
        <f>SamplingData[[#This Row],[Upper Range]]-SamplingData[[#This Row],[Span]]</f>
        <v>38642.526904690429</v>
      </c>
      <c r="AG236" s="100">
        <f>IF(ISNUMBER('General Info'!$B$42), ((SamplingData[[#This Row],[up/U Selection Probability]]) * 'General Info'!$B$44) - 1, 0)</f>
        <v>735.24007986789036</v>
      </c>
      <c r="AH236" s="100">
        <f>IF(ISNUMBER('General Info'!$B$42), (SamplingData[[#This Row],[Running (cumulative) sum]] * ('General Info'!$B$42 -'General Info'!$B$43 + 1)) + 'General Info'!$B$43 - 1, 0)</f>
        <v>39377.766984558322</v>
      </c>
      <c r="AI236" s="100" t="str">
        <f>IF(ISERROR(MATCH(SamplingData[[#This Row],[Batch by Type (p)]],SelectedPrecincts[Batch Name], 0)), "", INDEX(SelectedPrecincts[Draw], MATCH(SamplingData[[#This Row],[Batch by Type (p)]],SelectedPrecincts[Batch Name], 0)))</f>
        <v/>
      </c>
      <c r="AJ236" s="101">
        <f>IF(COUNTIF(SelectedPrecincts[Batch Name],SamplingData[[#This Row],[Batch by Type (p)]]) &lt;&gt; 0, COUNTIF(SelectedPrecincts[Batch Name],SamplingData[[#This Row],[Batch by Type (p)]]), 0)</f>
        <v>0</v>
      </c>
    </row>
    <row r="237" spans="1:36" ht="15" customHeight="1" x14ac:dyDescent="0.35">
      <c r="A237" s="98" t="s">
        <v>448</v>
      </c>
      <c r="B237" s="98">
        <v>68</v>
      </c>
      <c r="C237" s="98">
        <v>19</v>
      </c>
      <c r="D237" s="93">
        <v>5</v>
      </c>
      <c r="E237" s="93"/>
      <c r="F237" s="93"/>
      <c r="G237" s="97"/>
      <c r="H237" s="97"/>
      <c r="I237" s="93"/>
      <c r="J237" s="93"/>
      <c r="K237" s="93"/>
      <c r="L237" s="93"/>
      <c r="M237" s="93"/>
      <c r="N237" s="98">
        <v>0</v>
      </c>
      <c r="O237" s="98">
        <v>3</v>
      </c>
      <c r="P237" s="99">
        <f>SUM(SamplingData[[#This Row],[Winning Candidate]:[Under Votes]])</f>
        <v>95</v>
      </c>
      <c r="Q237" s="100">
        <f>IF(AND(SamplingData[[#This Row],[Total]]&lt;&gt; 0, NOT(ISBLANK(SamplingData[[#This Row],[Losing Candidate]]))),(SamplingData[[#This Row],[Total]]+SamplingData[[#This Row],[Winning Candidate]]-SamplingData[[#This Row],[Losing Candidate]])/(SamplingData[[#Totals],[Winning Candidate]]-SamplingData[[#Totals],[Losing Candidate]]), 0)</f>
        <v>9.1018266860501858E-3</v>
      </c>
      <c r="R237" s="100">
        <f>IF(AND(SamplingData[[#This Row],[Total]]&lt;&gt; 0, NOT(ISBLANK(SamplingData[[#This Row],[Candidate 3]]))),(SamplingData[[#This Row],[Total]]+SamplingData[[#This Row],[Winning Candidate]]-SamplingData[[#This Row],[Candidate 3]])/(SamplingData[[#Totals],[Winning Candidate]]-SamplingData[[#Totals],[Candidate 3]]), 0)</f>
        <v>8.918491758862045E-3</v>
      </c>
      <c r="S237" s="100">
        <f>IF(AND(SamplingData[[#This Row],[Total]]&lt;&gt; 0, NOT(ISBLANK(SamplingData[[#This Row],[Candidate 4]]))),(SamplingData[[#This Row],[Total]]+SamplingData[[#This Row],[Winning Candidate]]-SamplingData[[#This Row],[Candidate 4]])/(SamplingData[[#Totals],[Winning Candidate]]-SamplingData[[#Totals],[Candidate 4]]), 0)</f>
        <v>0</v>
      </c>
      <c r="T237" s="100">
        <f>IF(AND(SamplingData[[#This Row],[Total]]&lt;&gt; 0, NOT(ISBLANK(SamplingData[[#This Row],[Candidate 5]]))),(SamplingData[[#This Row],[Total]]+SamplingData[[#This Row],[Winning Candidate]]-SamplingData[[#This Row],[Candidate 5]])/(SamplingData[[#Totals],[Winning Candidate]]-SamplingData[[#Totals],[Candidate 5]]), 0)</f>
        <v>0</v>
      </c>
      <c r="U237" s="100">
        <f>IF(AND(SamplingData[[#This Row],[Total]]&lt;&gt; 0, NOT(ISBLANK(SamplingData[[#This Row],[Candidate 6]]))),(SamplingData[[#This Row],[Total]]+SamplingData[[#This Row],[Losing Candidate]]-SamplingData[[#This Row],[Candidate 6]])/(SamplingData[[#Totals],[Winning Candidate]]-SamplingData[[#Totals],[Candidate 6]]), 0)</f>
        <v>0</v>
      </c>
      <c r="V237" s="100">
        <f>IF(AND(SamplingData[[#This Row],[Total]]&lt;&gt; 0, NOT(ISBLANK(SamplingData[[#This Row],[Candidate 7]]))),(SamplingData[[#This Row],[Total]]+SamplingData[[#This Row],[Winning Candidate]]-SamplingData[[#This Row],[Candidate 7]])/(SamplingData[[#Totals],[Winning Candidate]]-SamplingData[[#Totals],[Candidate 7]]), 0)</f>
        <v>0</v>
      </c>
      <c r="W237" s="100">
        <f>IF(AND(SamplingData[[#This Row],[Total]]&lt;&gt; 0, NOT(ISBLANK(SamplingData[[#This Row],[Candidate 8]]))),(SamplingData[[#This Row],[Total]]+SamplingData[[#This Row],[Winning Candidate]]-SamplingData[[#This Row],[Candidate 8]])/(SamplingData[[#Totals],[Winning Candidate]]-SamplingData[[#Totals],[Candidate 8]]), 0)</f>
        <v>0</v>
      </c>
      <c r="X2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7" s="100">
        <f>MAX(SamplingData[[#This Row],[Error Bound (up) - Max. possible relative overstatement - Losing Candidate]:[Error Bound (up) - Max. possible relative overstatement - Candidate 12]])</f>
        <v>9.1018266860501858E-3</v>
      </c>
      <c r="AC237" s="100">
        <f>IF(SamplingData[[#This Row],[Max Error Bound (up)]] = 0,0,SamplingData[[#This Row],[Max Error Bound (up)]]/SamplingData[[#Totals],[Max Error Bound (up)]])</f>
        <v>3.6940268815671149E-3</v>
      </c>
      <c r="AD237" s="104">
        <f>SUM($AC$5:AC237)</f>
        <v>0.39748169672715034</v>
      </c>
      <c r="AE237" s="100" t="str" cm="1">
        <f t="array" ref="AE237">IF(SamplingData[[#This Row],[up/U Selection Probability]] = 0, "Zero", TEXT(SamplingData[[#This Row],[Lower Range]], REPT("0",LEN('General Info'!$B$42))) &amp; " - " &amp; TEXT(SamplingData[[#This Row],[Upper Range]], REPT("0",LEN('General Info'!$B$42))))</f>
        <v>39379 - 39747</v>
      </c>
      <c r="AF237" s="100">
        <f>SamplingData[[#This Row],[Upper Range]]-SamplingData[[#This Row],[Span]]</f>
        <v>39378.766984558322</v>
      </c>
      <c r="AG237" s="100">
        <f>IF(ISNUMBER('General Info'!$B$42), ((SamplingData[[#This Row],[up/U Selection Probability]]) * 'General Info'!$B$44) - 1, 0)</f>
        <v>368.40268815671146</v>
      </c>
      <c r="AH237" s="100">
        <f>IF(ISNUMBER('General Info'!$B$42), (SamplingData[[#This Row],[Running (cumulative) sum]] * ('General Info'!$B$42 -'General Info'!$B$43 + 1)) + 'General Info'!$B$43 - 1, 0)</f>
        <v>39747.169672715034</v>
      </c>
      <c r="AI237" s="100" t="str">
        <f>IF(ISERROR(MATCH(SamplingData[[#This Row],[Batch by Type (p)]],SelectedPrecincts[Batch Name], 0)), "", INDEX(SelectedPrecincts[Draw], MATCH(SamplingData[[#This Row],[Batch by Type (p)]],SelectedPrecincts[Batch Name], 0)))</f>
        <v/>
      </c>
      <c r="AJ237" s="101">
        <f>IF(COUNTIF(SelectedPrecincts[Batch Name],SamplingData[[#This Row],[Batch by Type (p)]]) &lt;&gt; 0, COUNTIF(SelectedPrecincts[Batch Name],SamplingData[[#This Row],[Batch by Type (p)]]), 0)</f>
        <v>0</v>
      </c>
    </row>
    <row r="238" spans="1:36" ht="15" customHeight="1" x14ac:dyDescent="0.35">
      <c r="A238" s="98" t="s">
        <v>449</v>
      </c>
      <c r="B238" s="98">
        <v>89</v>
      </c>
      <c r="C238" s="98">
        <v>38</v>
      </c>
      <c r="D238" s="93">
        <v>10</v>
      </c>
      <c r="E238" s="93"/>
      <c r="F238" s="93"/>
      <c r="G238" s="97"/>
      <c r="H238" s="97"/>
      <c r="I238" s="93"/>
      <c r="J238" s="93"/>
      <c r="K238" s="93"/>
      <c r="L238" s="93"/>
      <c r="M238" s="93"/>
      <c r="N238" s="98">
        <v>0</v>
      </c>
      <c r="O238" s="98">
        <v>3</v>
      </c>
      <c r="P238" s="99">
        <f>SUM(SamplingData[[#This Row],[Winning Candidate]:[Under Votes]])</f>
        <v>140</v>
      </c>
      <c r="Q238" s="100">
        <f>IF(AND(SamplingData[[#This Row],[Total]]&lt;&gt; 0, NOT(ISBLANK(SamplingData[[#This Row],[Losing Candidate]]))),(SamplingData[[#This Row],[Total]]+SamplingData[[#This Row],[Winning Candidate]]-SamplingData[[#This Row],[Losing Candidate]])/(SamplingData[[#Totals],[Winning Candidate]]-SamplingData[[#Totals],[Losing Candidate]]), 0)</f>
        <v>1.2072561784969344E-2</v>
      </c>
      <c r="R238" s="100">
        <f>IF(AND(SamplingData[[#This Row],[Total]]&lt;&gt; 0, NOT(ISBLANK(SamplingData[[#This Row],[Candidate 3]]))),(SamplingData[[#This Row],[Total]]+SamplingData[[#This Row],[Winning Candidate]]-SamplingData[[#This Row],[Candidate 3]])/(SamplingData[[#Totals],[Winning Candidate]]-SamplingData[[#Totals],[Candidate 3]]), 0)</f>
        <v>1.2361706931587266E-2</v>
      </c>
      <c r="S238" s="100">
        <f>IF(AND(SamplingData[[#This Row],[Total]]&lt;&gt; 0, NOT(ISBLANK(SamplingData[[#This Row],[Candidate 4]]))),(SamplingData[[#This Row],[Total]]+SamplingData[[#This Row],[Winning Candidate]]-SamplingData[[#This Row],[Candidate 4]])/(SamplingData[[#Totals],[Winning Candidate]]-SamplingData[[#Totals],[Candidate 4]]), 0)</f>
        <v>0</v>
      </c>
      <c r="T238" s="100">
        <f>IF(AND(SamplingData[[#This Row],[Total]]&lt;&gt; 0, NOT(ISBLANK(SamplingData[[#This Row],[Candidate 5]]))),(SamplingData[[#This Row],[Total]]+SamplingData[[#This Row],[Winning Candidate]]-SamplingData[[#This Row],[Candidate 5]])/(SamplingData[[#Totals],[Winning Candidate]]-SamplingData[[#Totals],[Candidate 5]]), 0)</f>
        <v>0</v>
      </c>
      <c r="U238" s="100">
        <f>IF(AND(SamplingData[[#This Row],[Total]]&lt;&gt; 0, NOT(ISBLANK(SamplingData[[#This Row],[Candidate 6]]))),(SamplingData[[#This Row],[Total]]+SamplingData[[#This Row],[Losing Candidate]]-SamplingData[[#This Row],[Candidate 6]])/(SamplingData[[#Totals],[Winning Candidate]]-SamplingData[[#Totals],[Candidate 6]]), 0)</f>
        <v>0</v>
      </c>
      <c r="V238" s="100">
        <f>IF(AND(SamplingData[[#This Row],[Total]]&lt;&gt; 0, NOT(ISBLANK(SamplingData[[#This Row],[Candidate 7]]))),(SamplingData[[#This Row],[Total]]+SamplingData[[#This Row],[Winning Candidate]]-SamplingData[[#This Row],[Candidate 7]])/(SamplingData[[#Totals],[Winning Candidate]]-SamplingData[[#Totals],[Candidate 7]]), 0)</f>
        <v>0</v>
      </c>
      <c r="W238" s="100">
        <f>IF(AND(SamplingData[[#This Row],[Total]]&lt;&gt; 0, NOT(ISBLANK(SamplingData[[#This Row],[Candidate 8]]))),(SamplingData[[#This Row],[Total]]+SamplingData[[#This Row],[Winning Candidate]]-SamplingData[[#This Row],[Candidate 8]])/(SamplingData[[#Totals],[Winning Candidate]]-SamplingData[[#Totals],[Candidate 8]]), 0)</f>
        <v>0</v>
      </c>
      <c r="X2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8" s="100">
        <f>MAX(SamplingData[[#This Row],[Error Bound (up) - Max. possible relative overstatement - Losing Candidate]:[Error Bound (up) - Max. possible relative overstatement - Candidate 12]])</f>
        <v>1.2361706931587266E-2</v>
      </c>
      <c r="AC238" s="100">
        <f>IF(SamplingData[[#This Row],[Max Error Bound (up)]] = 0,0,SamplingData[[#This Row],[Max Error Bound (up)]]/SamplingData[[#Totals],[Max Error Bound (up)]])</f>
        <v>5.0170673736652282E-3</v>
      </c>
      <c r="AD238" s="104">
        <f>SUM($AC$5:AC238)</f>
        <v>0.40249876410081559</v>
      </c>
      <c r="AE238" s="100" t="str" cm="1">
        <f t="array" ref="AE238">IF(SamplingData[[#This Row],[up/U Selection Probability]] = 0, "Zero", TEXT(SamplingData[[#This Row],[Lower Range]], REPT("0",LEN('General Info'!$B$42))) &amp; " - " &amp; TEXT(SamplingData[[#This Row],[Upper Range]], REPT("0",LEN('General Info'!$B$42))))</f>
        <v>39748 - 40249</v>
      </c>
      <c r="AF238" s="100">
        <f>SamplingData[[#This Row],[Upper Range]]-SamplingData[[#This Row],[Span]]</f>
        <v>39748.169672715041</v>
      </c>
      <c r="AG238" s="100">
        <f>IF(ISNUMBER('General Info'!$B$42), ((SamplingData[[#This Row],[up/U Selection Probability]]) * 'General Info'!$B$44) - 1, 0)</f>
        <v>500.70673736652282</v>
      </c>
      <c r="AH238" s="100">
        <f>IF(ISNUMBER('General Info'!$B$42), (SamplingData[[#This Row],[Running (cumulative) sum]] * ('General Info'!$B$42 -'General Info'!$B$43 + 1)) + 'General Info'!$B$43 - 1, 0)</f>
        <v>40248.876410081561</v>
      </c>
      <c r="AI238" s="100" t="str">
        <f>IF(ISERROR(MATCH(SamplingData[[#This Row],[Batch by Type (p)]],SelectedPrecincts[Batch Name], 0)), "", INDEX(SelectedPrecincts[Draw], MATCH(SamplingData[[#This Row],[Batch by Type (p)]],SelectedPrecincts[Batch Name], 0)))</f>
        <v/>
      </c>
      <c r="AJ238" s="101">
        <f>IF(COUNTIF(SelectedPrecincts[Batch Name],SamplingData[[#This Row],[Batch by Type (p)]]) &lt;&gt; 0, COUNTIF(SelectedPrecincts[Batch Name],SamplingData[[#This Row],[Batch by Type (p)]]), 0)</f>
        <v>0</v>
      </c>
    </row>
    <row r="239" spans="1:36" ht="15" customHeight="1" x14ac:dyDescent="0.35">
      <c r="A239" s="98" t="s">
        <v>450</v>
      </c>
      <c r="B239" s="98">
        <v>110</v>
      </c>
      <c r="C239" s="98">
        <v>5</v>
      </c>
      <c r="D239" s="93">
        <v>2</v>
      </c>
      <c r="E239" s="93"/>
      <c r="F239" s="93"/>
      <c r="G239" s="97"/>
      <c r="H239" s="97"/>
      <c r="I239" s="93"/>
      <c r="J239" s="93"/>
      <c r="K239" s="93"/>
      <c r="L239" s="93"/>
      <c r="M239" s="93"/>
      <c r="N239" s="98">
        <v>0</v>
      </c>
      <c r="O239" s="98">
        <v>0</v>
      </c>
      <c r="P239" s="99">
        <f>SUM(SamplingData[[#This Row],[Winning Candidate]:[Under Votes]])</f>
        <v>117</v>
      </c>
      <c r="Q239" s="100">
        <f>IF(AND(SamplingData[[#This Row],[Total]]&lt;&gt; 0, NOT(ISBLANK(SamplingData[[#This Row],[Losing Candidate]]))),(SamplingData[[#This Row],[Total]]+SamplingData[[#This Row],[Winning Candidate]]-SamplingData[[#This Row],[Losing Candidate]])/(SamplingData[[#Totals],[Winning Candidate]]-SamplingData[[#Totals],[Losing Candidate]]), 0)</f>
        <v>1.4031982807660704E-2</v>
      </c>
      <c r="R239" s="100">
        <f>IF(AND(SamplingData[[#This Row],[Total]]&lt;&gt; 0, NOT(ISBLANK(SamplingData[[#This Row],[Candidate 3]]))),(SamplingData[[#This Row],[Total]]+SamplingData[[#This Row],[Winning Candidate]]-SamplingData[[#This Row],[Candidate 3]])/(SamplingData[[#Totals],[Winning Candidate]]-SamplingData[[#Totals],[Candidate 3]]), 0)</f>
        <v>1.2700383833822533E-2</v>
      </c>
      <c r="S239" s="100">
        <f>IF(AND(SamplingData[[#This Row],[Total]]&lt;&gt; 0, NOT(ISBLANK(SamplingData[[#This Row],[Candidate 4]]))),(SamplingData[[#This Row],[Total]]+SamplingData[[#This Row],[Winning Candidate]]-SamplingData[[#This Row],[Candidate 4]])/(SamplingData[[#Totals],[Winning Candidate]]-SamplingData[[#Totals],[Candidate 4]]), 0)</f>
        <v>0</v>
      </c>
      <c r="T239" s="100">
        <f>IF(AND(SamplingData[[#This Row],[Total]]&lt;&gt; 0, NOT(ISBLANK(SamplingData[[#This Row],[Candidate 5]]))),(SamplingData[[#This Row],[Total]]+SamplingData[[#This Row],[Winning Candidate]]-SamplingData[[#This Row],[Candidate 5]])/(SamplingData[[#Totals],[Winning Candidate]]-SamplingData[[#Totals],[Candidate 5]]), 0)</f>
        <v>0</v>
      </c>
      <c r="U239" s="100">
        <f>IF(AND(SamplingData[[#This Row],[Total]]&lt;&gt; 0, NOT(ISBLANK(SamplingData[[#This Row],[Candidate 6]]))),(SamplingData[[#This Row],[Total]]+SamplingData[[#This Row],[Losing Candidate]]-SamplingData[[#This Row],[Candidate 6]])/(SamplingData[[#Totals],[Winning Candidate]]-SamplingData[[#Totals],[Candidate 6]]), 0)</f>
        <v>0</v>
      </c>
      <c r="V239" s="100">
        <f>IF(AND(SamplingData[[#This Row],[Total]]&lt;&gt; 0, NOT(ISBLANK(SamplingData[[#This Row],[Candidate 7]]))),(SamplingData[[#This Row],[Total]]+SamplingData[[#This Row],[Winning Candidate]]-SamplingData[[#This Row],[Candidate 7]])/(SamplingData[[#Totals],[Winning Candidate]]-SamplingData[[#Totals],[Candidate 7]]), 0)</f>
        <v>0</v>
      </c>
      <c r="W239" s="100">
        <f>IF(AND(SamplingData[[#This Row],[Total]]&lt;&gt; 0, NOT(ISBLANK(SamplingData[[#This Row],[Candidate 8]]))),(SamplingData[[#This Row],[Total]]+SamplingData[[#This Row],[Winning Candidate]]-SamplingData[[#This Row],[Candidate 8]])/(SamplingData[[#Totals],[Winning Candidate]]-SamplingData[[#Totals],[Candidate 8]]), 0)</f>
        <v>0</v>
      </c>
      <c r="X2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9" s="100">
        <f>MAX(SamplingData[[#This Row],[Error Bound (up) - Max. possible relative overstatement - Losing Candidate]:[Error Bound (up) - Max. possible relative overstatement - Candidate 12]])</f>
        <v>1.4031982807660704E-2</v>
      </c>
      <c r="AC239" s="100">
        <f>IF(SamplingData[[#This Row],[Max Error Bound (up)]] = 0,0,SamplingData[[#This Row],[Max Error Bound (up)]]/SamplingData[[#Totals],[Max Error Bound (up)]])</f>
        <v>5.6949581090826361E-3</v>
      </c>
      <c r="AD239" s="104">
        <f>SUM($AC$5:AC239)</f>
        <v>0.40819372220989825</v>
      </c>
      <c r="AE239" s="100" t="str" cm="1">
        <f t="array" ref="AE239">IF(SamplingData[[#This Row],[up/U Selection Probability]] = 0, "Zero", TEXT(SamplingData[[#This Row],[Lower Range]], REPT("0",LEN('General Info'!$B$42))) &amp; " - " &amp; TEXT(SamplingData[[#This Row],[Upper Range]], REPT("0",LEN('General Info'!$B$42))))</f>
        <v>40250 - 40818</v>
      </c>
      <c r="AF239" s="100">
        <f>SamplingData[[#This Row],[Upper Range]]-SamplingData[[#This Row],[Span]]</f>
        <v>40249.876410081561</v>
      </c>
      <c r="AG239" s="100">
        <f>IF(ISNUMBER('General Info'!$B$42), ((SamplingData[[#This Row],[up/U Selection Probability]]) * 'General Info'!$B$44) - 1, 0)</f>
        <v>568.49581090826359</v>
      </c>
      <c r="AH239" s="100">
        <f>IF(ISNUMBER('General Info'!$B$42), (SamplingData[[#This Row],[Running (cumulative) sum]] * ('General Info'!$B$42 -'General Info'!$B$43 + 1)) + 'General Info'!$B$43 - 1, 0)</f>
        <v>40818.372220989826</v>
      </c>
      <c r="AI239" s="100" t="str">
        <f>IF(ISERROR(MATCH(SamplingData[[#This Row],[Batch by Type (p)]],SelectedPrecincts[Batch Name], 0)), "", INDEX(SelectedPrecincts[Draw], MATCH(SamplingData[[#This Row],[Batch by Type (p)]],SelectedPrecincts[Batch Name], 0)))</f>
        <v/>
      </c>
      <c r="AJ239" s="101">
        <f>IF(COUNTIF(SelectedPrecincts[Batch Name],SamplingData[[#This Row],[Batch by Type (p)]]) &lt;&gt; 0, COUNTIF(SelectedPrecincts[Batch Name],SamplingData[[#This Row],[Batch by Type (p)]]), 0)</f>
        <v>0</v>
      </c>
    </row>
    <row r="240" spans="1:36" ht="15" customHeight="1" x14ac:dyDescent="0.35">
      <c r="A240" s="98" t="s">
        <v>451</v>
      </c>
      <c r="B240" s="98">
        <v>83</v>
      </c>
      <c r="C240" s="98">
        <v>43</v>
      </c>
      <c r="D240" s="93">
        <v>19</v>
      </c>
      <c r="E240" s="93"/>
      <c r="F240" s="93"/>
      <c r="G240" s="97"/>
      <c r="H240" s="97"/>
      <c r="I240" s="93"/>
      <c r="J240" s="93"/>
      <c r="K240" s="93"/>
      <c r="L240" s="93"/>
      <c r="M240" s="93"/>
      <c r="N240" s="98">
        <v>0</v>
      </c>
      <c r="O240" s="98">
        <v>4</v>
      </c>
      <c r="P240" s="99">
        <f>SUM(SamplingData[[#This Row],[Winning Candidate]:[Under Votes]])</f>
        <v>149</v>
      </c>
      <c r="Q240" s="100">
        <f>IF(AND(SamplingData[[#This Row],[Total]]&lt;&gt; 0, NOT(ISBLANK(SamplingData[[#This Row],[Losing Candidate]]))),(SamplingData[[#This Row],[Total]]+SamplingData[[#This Row],[Winning Candidate]]-SamplingData[[#This Row],[Losing Candidate]])/(SamplingData[[#Totals],[Winning Candidate]]-SamplingData[[#Totals],[Losing Candidate]]), 0)</f>
        <v>1.194614752544087E-2</v>
      </c>
      <c r="R240" s="100">
        <f>IF(AND(SamplingData[[#This Row],[Total]]&lt;&gt; 0, NOT(ISBLANK(SamplingData[[#This Row],[Candidate 3]]))),(SamplingData[[#This Row],[Total]]+SamplingData[[#This Row],[Winning Candidate]]-SamplingData[[#This Row],[Candidate 3]])/(SamplingData[[#Totals],[Winning Candidate]]-SamplingData[[#Totals],[Candidate 3]]), 0)</f>
        <v>1.2023030029351999E-2</v>
      </c>
      <c r="S240" s="100">
        <f>IF(AND(SamplingData[[#This Row],[Total]]&lt;&gt; 0, NOT(ISBLANK(SamplingData[[#This Row],[Candidate 4]]))),(SamplingData[[#This Row],[Total]]+SamplingData[[#This Row],[Winning Candidate]]-SamplingData[[#This Row],[Candidate 4]])/(SamplingData[[#Totals],[Winning Candidate]]-SamplingData[[#Totals],[Candidate 4]]), 0)</f>
        <v>0</v>
      </c>
      <c r="T240" s="100">
        <f>IF(AND(SamplingData[[#This Row],[Total]]&lt;&gt; 0, NOT(ISBLANK(SamplingData[[#This Row],[Candidate 5]]))),(SamplingData[[#This Row],[Total]]+SamplingData[[#This Row],[Winning Candidate]]-SamplingData[[#This Row],[Candidate 5]])/(SamplingData[[#Totals],[Winning Candidate]]-SamplingData[[#Totals],[Candidate 5]]), 0)</f>
        <v>0</v>
      </c>
      <c r="U240" s="100">
        <f>IF(AND(SamplingData[[#This Row],[Total]]&lt;&gt; 0, NOT(ISBLANK(SamplingData[[#This Row],[Candidate 6]]))),(SamplingData[[#This Row],[Total]]+SamplingData[[#This Row],[Losing Candidate]]-SamplingData[[#This Row],[Candidate 6]])/(SamplingData[[#Totals],[Winning Candidate]]-SamplingData[[#Totals],[Candidate 6]]), 0)</f>
        <v>0</v>
      </c>
      <c r="V240" s="100">
        <f>IF(AND(SamplingData[[#This Row],[Total]]&lt;&gt; 0, NOT(ISBLANK(SamplingData[[#This Row],[Candidate 7]]))),(SamplingData[[#This Row],[Total]]+SamplingData[[#This Row],[Winning Candidate]]-SamplingData[[#This Row],[Candidate 7]])/(SamplingData[[#Totals],[Winning Candidate]]-SamplingData[[#Totals],[Candidate 7]]), 0)</f>
        <v>0</v>
      </c>
      <c r="W240" s="100">
        <f>IF(AND(SamplingData[[#This Row],[Total]]&lt;&gt; 0, NOT(ISBLANK(SamplingData[[#This Row],[Candidate 8]]))),(SamplingData[[#This Row],[Total]]+SamplingData[[#This Row],[Winning Candidate]]-SamplingData[[#This Row],[Candidate 8]])/(SamplingData[[#Totals],[Winning Candidate]]-SamplingData[[#Totals],[Candidate 8]]), 0)</f>
        <v>0</v>
      </c>
      <c r="X2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0" s="100">
        <f>MAX(SamplingData[[#This Row],[Error Bound (up) - Max. possible relative overstatement - Losing Candidate]:[Error Bound (up) - Max. possible relative overstatement - Candidate 12]])</f>
        <v>1.2023030029351999E-2</v>
      </c>
      <c r="AC240" s="100">
        <f>IF(SamplingData[[#This Row],[Max Error Bound (up)]] = 0,0,SamplingData[[#This Row],[Max Error Bound (up)]]/SamplingData[[#Totals],[Max Error Bound (up)]])</f>
        <v>4.8796134730168667E-3</v>
      </c>
      <c r="AD240" s="104">
        <f>SUM($AC$5:AC240)</f>
        <v>0.4130733356829151</v>
      </c>
      <c r="AE240" s="100" t="str" cm="1">
        <f t="array" ref="AE240">IF(SamplingData[[#This Row],[up/U Selection Probability]] = 0, "Zero", TEXT(SamplingData[[#This Row],[Lower Range]], REPT("0",LEN('General Info'!$B$42))) &amp; " - " &amp; TEXT(SamplingData[[#This Row],[Upper Range]], REPT("0",LEN('General Info'!$B$42))))</f>
        <v>40819 - 41306</v>
      </c>
      <c r="AF240" s="100">
        <f>SamplingData[[#This Row],[Upper Range]]-SamplingData[[#This Row],[Span]]</f>
        <v>40819.372220989826</v>
      </c>
      <c r="AG240" s="100">
        <f>IF(ISNUMBER('General Info'!$B$42), ((SamplingData[[#This Row],[up/U Selection Probability]]) * 'General Info'!$B$44) - 1, 0)</f>
        <v>486.96134730168666</v>
      </c>
      <c r="AH240" s="100">
        <f>IF(ISNUMBER('General Info'!$B$42), (SamplingData[[#This Row],[Running (cumulative) sum]] * ('General Info'!$B$42 -'General Info'!$B$43 + 1)) + 'General Info'!$B$43 - 1, 0)</f>
        <v>41306.333568291513</v>
      </c>
      <c r="AI240" s="100" t="str">
        <f>IF(ISERROR(MATCH(SamplingData[[#This Row],[Batch by Type (p)]],SelectedPrecincts[Batch Name], 0)), "", INDEX(SelectedPrecincts[Draw], MATCH(SamplingData[[#This Row],[Batch by Type (p)]],SelectedPrecincts[Batch Name], 0)))</f>
        <v/>
      </c>
      <c r="AJ240" s="101">
        <f>IF(COUNTIF(SelectedPrecincts[Batch Name],SamplingData[[#This Row],[Batch by Type (p)]]) &lt;&gt; 0, COUNTIF(SelectedPrecincts[Batch Name],SamplingData[[#This Row],[Batch by Type (p)]]), 0)</f>
        <v>0</v>
      </c>
    </row>
    <row r="241" spans="1:36" ht="15" customHeight="1" x14ac:dyDescent="0.35">
      <c r="A241" s="98" t="s">
        <v>452</v>
      </c>
      <c r="B241" s="98">
        <v>144</v>
      </c>
      <c r="C241" s="98">
        <v>18</v>
      </c>
      <c r="D241" s="93">
        <v>4</v>
      </c>
      <c r="E241" s="93"/>
      <c r="F241" s="93"/>
      <c r="G241" s="97"/>
      <c r="H241" s="97"/>
      <c r="I241" s="93"/>
      <c r="J241" s="93"/>
      <c r="K241" s="93"/>
      <c r="L241" s="93"/>
      <c r="M241" s="93"/>
      <c r="N241" s="98">
        <v>1</v>
      </c>
      <c r="O241" s="98">
        <v>1</v>
      </c>
      <c r="P241" s="99">
        <f>SUM(SamplingData[[#This Row],[Winning Candidate]:[Under Votes]])</f>
        <v>168</v>
      </c>
      <c r="Q241" s="100">
        <f>IF(AND(SamplingData[[#This Row],[Total]]&lt;&gt; 0, NOT(ISBLANK(SamplingData[[#This Row],[Losing Candidate]]))),(SamplingData[[#This Row],[Total]]+SamplingData[[#This Row],[Winning Candidate]]-SamplingData[[#This Row],[Losing Candidate]])/(SamplingData[[#Totals],[Winning Candidate]]-SamplingData[[#Totals],[Losing Candidate]]), 0)</f>
        <v>1.8582896150685799E-2</v>
      </c>
      <c r="R241" s="100">
        <f>IF(AND(SamplingData[[#This Row],[Total]]&lt;&gt; 0, NOT(ISBLANK(SamplingData[[#This Row],[Candidate 3]]))),(SamplingData[[#This Row],[Total]]+SamplingData[[#This Row],[Winning Candidate]]-SamplingData[[#This Row],[Candidate 3]])/(SamplingData[[#Totals],[Winning Candidate]]-SamplingData[[#Totals],[Candidate 3]]), 0)</f>
        <v>1.7385414314743733E-2</v>
      </c>
      <c r="S241" s="100">
        <f>IF(AND(SamplingData[[#This Row],[Total]]&lt;&gt; 0, NOT(ISBLANK(SamplingData[[#This Row],[Candidate 4]]))),(SamplingData[[#This Row],[Total]]+SamplingData[[#This Row],[Winning Candidate]]-SamplingData[[#This Row],[Candidate 4]])/(SamplingData[[#Totals],[Winning Candidate]]-SamplingData[[#Totals],[Candidate 4]]), 0)</f>
        <v>0</v>
      </c>
      <c r="T241" s="100">
        <f>IF(AND(SamplingData[[#This Row],[Total]]&lt;&gt; 0, NOT(ISBLANK(SamplingData[[#This Row],[Candidate 5]]))),(SamplingData[[#This Row],[Total]]+SamplingData[[#This Row],[Winning Candidate]]-SamplingData[[#This Row],[Candidate 5]])/(SamplingData[[#Totals],[Winning Candidate]]-SamplingData[[#Totals],[Candidate 5]]), 0)</f>
        <v>0</v>
      </c>
      <c r="U241" s="100">
        <f>IF(AND(SamplingData[[#This Row],[Total]]&lt;&gt; 0, NOT(ISBLANK(SamplingData[[#This Row],[Candidate 6]]))),(SamplingData[[#This Row],[Total]]+SamplingData[[#This Row],[Losing Candidate]]-SamplingData[[#This Row],[Candidate 6]])/(SamplingData[[#Totals],[Winning Candidate]]-SamplingData[[#Totals],[Candidate 6]]), 0)</f>
        <v>0</v>
      </c>
      <c r="V241" s="100">
        <f>IF(AND(SamplingData[[#This Row],[Total]]&lt;&gt; 0, NOT(ISBLANK(SamplingData[[#This Row],[Candidate 7]]))),(SamplingData[[#This Row],[Total]]+SamplingData[[#This Row],[Winning Candidate]]-SamplingData[[#This Row],[Candidate 7]])/(SamplingData[[#Totals],[Winning Candidate]]-SamplingData[[#Totals],[Candidate 7]]), 0)</f>
        <v>0</v>
      </c>
      <c r="W241" s="100">
        <f>IF(AND(SamplingData[[#This Row],[Total]]&lt;&gt; 0, NOT(ISBLANK(SamplingData[[#This Row],[Candidate 8]]))),(SamplingData[[#This Row],[Total]]+SamplingData[[#This Row],[Winning Candidate]]-SamplingData[[#This Row],[Candidate 8]])/(SamplingData[[#Totals],[Winning Candidate]]-SamplingData[[#Totals],[Candidate 8]]), 0)</f>
        <v>0</v>
      </c>
      <c r="X2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1" s="100">
        <f>MAX(SamplingData[[#This Row],[Error Bound (up) - Max. possible relative overstatement - Losing Candidate]:[Error Bound (up) - Max. possible relative overstatement - Candidate 12]])</f>
        <v>1.8582896150685799E-2</v>
      </c>
      <c r="AC241" s="100">
        <f>IF(SamplingData[[#This Row],[Max Error Bound (up)]] = 0,0,SamplingData[[#This Row],[Max Error Bound (up)]]/SamplingData[[#Totals],[Max Error Bound (up)]])</f>
        <v>7.541971549866194E-3</v>
      </c>
      <c r="AD241" s="104">
        <f>SUM($AC$5:AC241)</f>
        <v>0.42061530723278129</v>
      </c>
      <c r="AE241" s="100" t="str" cm="1">
        <f t="array" ref="AE241">IF(SamplingData[[#This Row],[up/U Selection Probability]] = 0, "Zero", TEXT(SamplingData[[#This Row],[Lower Range]], REPT("0",LEN('General Info'!$B$42))) &amp; " - " &amp; TEXT(SamplingData[[#This Row],[Upper Range]], REPT("0",LEN('General Info'!$B$42))))</f>
        <v>41307 - 42061</v>
      </c>
      <c r="AF241" s="100">
        <f>SamplingData[[#This Row],[Upper Range]]-SamplingData[[#This Row],[Span]]</f>
        <v>41307.333568291506</v>
      </c>
      <c r="AG241" s="100">
        <f>IF(ISNUMBER('General Info'!$B$42), ((SamplingData[[#This Row],[up/U Selection Probability]]) * 'General Info'!$B$44) - 1, 0)</f>
        <v>753.19715498661935</v>
      </c>
      <c r="AH241" s="100">
        <f>IF(ISNUMBER('General Info'!$B$42), (SamplingData[[#This Row],[Running (cumulative) sum]] * ('General Info'!$B$42 -'General Info'!$B$43 + 1)) + 'General Info'!$B$43 - 1, 0)</f>
        <v>42060.530723278127</v>
      </c>
      <c r="AI241" s="100" t="str">
        <f>IF(ISERROR(MATCH(SamplingData[[#This Row],[Batch by Type (p)]],SelectedPrecincts[Batch Name], 0)), "", INDEX(SelectedPrecincts[Draw], MATCH(SamplingData[[#This Row],[Batch by Type (p)]],SelectedPrecincts[Batch Name], 0)))</f>
        <v/>
      </c>
      <c r="AJ241" s="101">
        <f>IF(COUNTIF(SelectedPrecincts[Batch Name],SamplingData[[#This Row],[Batch by Type (p)]]) &lt;&gt; 0, COUNTIF(SelectedPrecincts[Batch Name],SamplingData[[#This Row],[Batch by Type (p)]]), 0)</f>
        <v>0</v>
      </c>
    </row>
    <row r="242" spans="1:36" ht="15" customHeight="1" x14ac:dyDescent="0.35">
      <c r="A242" s="98" t="s">
        <v>453</v>
      </c>
      <c r="B242" s="98">
        <v>41</v>
      </c>
      <c r="C242" s="98">
        <v>9</v>
      </c>
      <c r="D242" s="93">
        <v>3</v>
      </c>
      <c r="E242" s="93"/>
      <c r="F242" s="93"/>
      <c r="G242" s="97"/>
      <c r="H242" s="97"/>
      <c r="I242" s="93"/>
      <c r="J242" s="93"/>
      <c r="K242" s="93"/>
      <c r="L242" s="93"/>
      <c r="M242" s="93"/>
      <c r="N242" s="98">
        <v>0</v>
      </c>
      <c r="O242" s="98">
        <v>0</v>
      </c>
      <c r="P242" s="99">
        <f>SUM(SamplingData[[#This Row],[Winning Candidate]:[Under Votes]])</f>
        <v>53</v>
      </c>
      <c r="Q242" s="100">
        <f>IF(AND(SamplingData[[#This Row],[Total]]&lt;&gt; 0, NOT(ISBLANK(SamplingData[[#This Row],[Losing Candidate]]))),(SamplingData[[#This Row],[Total]]+SamplingData[[#This Row],[Winning Candidate]]-SamplingData[[#This Row],[Losing Candidate]])/(SamplingData[[#Totals],[Winning Candidate]]-SamplingData[[#Totals],[Losing Candidate]]), 0)</f>
        <v>5.3726060299601796E-3</v>
      </c>
      <c r="R242" s="100">
        <f>IF(AND(SamplingData[[#This Row],[Total]]&lt;&gt; 0, NOT(ISBLANK(SamplingData[[#This Row],[Candidate 3]]))),(SamplingData[[#This Row],[Total]]+SamplingData[[#This Row],[Winning Candidate]]-SamplingData[[#This Row],[Candidate 3]])/(SamplingData[[#Totals],[Winning Candidate]]-SamplingData[[#Totals],[Candidate 3]]), 0)</f>
        <v>5.1365996839015582E-3</v>
      </c>
      <c r="S242" s="100">
        <f>IF(AND(SamplingData[[#This Row],[Total]]&lt;&gt; 0, NOT(ISBLANK(SamplingData[[#This Row],[Candidate 4]]))),(SamplingData[[#This Row],[Total]]+SamplingData[[#This Row],[Winning Candidate]]-SamplingData[[#This Row],[Candidate 4]])/(SamplingData[[#Totals],[Winning Candidate]]-SamplingData[[#Totals],[Candidate 4]]), 0)</f>
        <v>0</v>
      </c>
      <c r="T242" s="100">
        <f>IF(AND(SamplingData[[#This Row],[Total]]&lt;&gt; 0, NOT(ISBLANK(SamplingData[[#This Row],[Candidate 5]]))),(SamplingData[[#This Row],[Total]]+SamplingData[[#This Row],[Winning Candidate]]-SamplingData[[#This Row],[Candidate 5]])/(SamplingData[[#Totals],[Winning Candidate]]-SamplingData[[#Totals],[Candidate 5]]), 0)</f>
        <v>0</v>
      </c>
      <c r="U242" s="100">
        <f>IF(AND(SamplingData[[#This Row],[Total]]&lt;&gt; 0, NOT(ISBLANK(SamplingData[[#This Row],[Candidate 6]]))),(SamplingData[[#This Row],[Total]]+SamplingData[[#This Row],[Losing Candidate]]-SamplingData[[#This Row],[Candidate 6]])/(SamplingData[[#Totals],[Winning Candidate]]-SamplingData[[#Totals],[Candidate 6]]), 0)</f>
        <v>0</v>
      </c>
      <c r="V242" s="100">
        <f>IF(AND(SamplingData[[#This Row],[Total]]&lt;&gt; 0, NOT(ISBLANK(SamplingData[[#This Row],[Candidate 7]]))),(SamplingData[[#This Row],[Total]]+SamplingData[[#This Row],[Winning Candidate]]-SamplingData[[#This Row],[Candidate 7]])/(SamplingData[[#Totals],[Winning Candidate]]-SamplingData[[#Totals],[Candidate 7]]), 0)</f>
        <v>0</v>
      </c>
      <c r="W242" s="100">
        <f>IF(AND(SamplingData[[#This Row],[Total]]&lt;&gt; 0, NOT(ISBLANK(SamplingData[[#This Row],[Candidate 8]]))),(SamplingData[[#This Row],[Total]]+SamplingData[[#This Row],[Winning Candidate]]-SamplingData[[#This Row],[Candidate 8]])/(SamplingData[[#Totals],[Winning Candidate]]-SamplingData[[#Totals],[Candidate 8]]), 0)</f>
        <v>0</v>
      </c>
      <c r="X2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2" s="100">
        <f>MAX(SamplingData[[#This Row],[Error Bound (up) - Max. possible relative overstatement - Losing Candidate]:[Error Bound (up) - Max. possible relative overstatement - Candidate 12]])</f>
        <v>5.3726060299601796E-3</v>
      </c>
      <c r="AC242" s="100">
        <f>IF(SamplingData[[#This Row],[Max Error Bound (up)]] = 0,0,SamplingData[[#This Row],[Max Error Bound (up)]]/SamplingData[[#Totals],[Max Error Bound (up)]])</f>
        <v>2.1805019787028111E-3</v>
      </c>
      <c r="AD242" s="104">
        <f>SUM($AC$5:AC242)</f>
        <v>0.42279580921148407</v>
      </c>
      <c r="AE242" s="100" t="str" cm="1">
        <f t="array" ref="AE242">IF(SamplingData[[#This Row],[up/U Selection Probability]] = 0, "Zero", TEXT(SamplingData[[#This Row],[Lower Range]], REPT("0",LEN('General Info'!$B$42))) &amp; " - " &amp; TEXT(SamplingData[[#This Row],[Upper Range]], REPT("0",LEN('General Info'!$B$42))))</f>
        <v>42062 - 42279</v>
      </c>
      <c r="AF242" s="100">
        <f>SamplingData[[#This Row],[Upper Range]]-SamplingData[[#This Row],[Span]]</f>
        <v>42061.530723278127</v>
      </c>
      <c r="AG242" s="100">
        <f>IF(ISNUMBER('General Info'!$B$42), ((SamplingData[[#This Row],[up/U Selection Probability]]) * 'General Info'!$B$44) - 1, 0)</f>
        <v>217.05019787028112</v>
      </c>
      <c r="AH242" s="100">
        <f>IF(ISNUMBER('General Info'!$B$42), (SamplingData[[#This Row],[Running (cumulative) sum]] * ('General Info'!$B$42 -'General Info'!$B$43 + 1)) + 'General Info'!$B$43 - 1, 0)</f>
        <v>42278.580921148408</v>
      </c>
      <c r="AI242" s="100" t="str">
        <f>IF(ISERROR(MATCH(SamplingData[[#This Row],[Batch by Type (p)]],SelectedPrecincts[Batch Name], 0)), "", INDEX(SelectedPrecincts[Draw], MATCH(SamplingData[[#This Row],[Batch by Type (p)]],SelectedPrecincts[Batch Name], 0)))</f>
        <v/>
      </c>
      <c r="AJ242" s="101">
        <f>IF(COUNTIF(SelectedPrecincts[Batch Name],SamplingData[[#This Row],[Batch by Type (p)]]) &lt;&gt; 0, COUNTIF(SelectedPrecincts[Batch Name],SamplingData[[#This Row],[Batch by Type (p)]]), 0)</f>
        <v>0</v>
      </c>
    </row>
    <row r="243" spans="1:36" ht="15" customHeight="1" x14ac:dyDescent="0.35">
      <c r="A243" s="98" t="s">
        <v>454</v>
      </c>
      <c r="B243" s="98">
        <v>95</v>
      </c>
      <c r="C243" s="98">
        <v>8</v>
      </c>
      <c r="D243" s="93">
        <v>7</v>
      </c>
      <c r="E243" s="93"/>
      <c r="F243" s="93"/>
      <c r="G243" s="97"/>
      <c r="H243" s="97"/>
      <c r="I243" s="93"/>
      <c r="J243" s="93"/>
      <c r="K243" s="93"/>
      <c r="L243" s="93"/>
      <c r="M243" s="93"/>
      <c r="N243" s="98">
        <v>0</v>
      </c>
      <c r="O243" s="98">
        <v>1</v>
      </c>
      <c r="P243" s="99">
        <f>SUM(SamplingData[[#This Row],[Winning Candidate]:[Under Votes]])</f>
        <v>111</v>
      </c>
      <c r="Q243" s="100">
        <f>IF(AND(SamplingData[[#This Row],[Total]]&lt;&gt; 0, NOT(ISBLANK(SamplingData[[#This Row],[Losing Candidate]]))),(SamplingData[[#This Row],[Total]]+SamplingData[[#This Row],[Winning Candidate]]-SamplingData[[#This Row],[Losing Candidate]])/(SamplingData[[#Totals],[Winning Candidate]]-SamplingData[[#Totals],[Losing Candidate]]), 0)</f>
        <v>1.2515011693319006E-2</v>
      </c>
      <c r="R243" s="100">
        <f>IF(AND(SamplingData[[#This Row],[Total]]&lt;&gt; 0, NOT(ISBLANK(SamplingData[[#This Row],[Candidate 3]]))),(SamplingData[[#This Row],[Total]]+SamplingData[[#This Row],[Winning Candidate]]-SamplingData[[#This Row],[Candidate 3]])/(SamplingData[[#Totals],[Winning Candidate]]-SamplingData[[#Totals],[Candidate 3]]), 0)</f>
        <v>1.1232783924136375E-2</v>
      </c>
      <c r="S243" s="100">
        <f>IF(AND(SamplingData[[#This Row],[Total]]&lt;&gt; 0, NOT(ISBLANK(SamplingData[[#This Row],[Candidate 4]]))),(SamplingData[[#This Row],[Total]]+SamplingData[[#This Row],[Winning Candidate]]-SamplingData[[#This Row],[Candidate 4]])/(SamplingData[[#Totals],[Winning Candidate]]-SamplingData[[#Totals],[Candidate 4]]), 0)</f>
        <v>0</v>
      </c>
      <c r="T243" s="100">
        <f>IF(AND(SamplingData[[#This Row],[Total]]&lt;&gt; 0, NOT(ISBLANK(SamplingData[[#This Row],[Candidate 5]]))),(SamplingData[[#This Row],[Total]]+SamplingData[[#This Row],[Winning Candidate]]-SamplingData[[#This Row],[Candidate 5]])/(SamplingData[[#Totals],[Winning Candidate]]-SamplingData[[#Totals],[Candidate 5]]), 0)</f>
        <v>0</v>
      </c>
      <c r="U243" s="100">
        <f>IF(AND(SamplingData[[#This Row],[Total]]&lt;&gt; 0, NOT(ISBLANK(SamplingData[[#This Row],[Candidate 6]]))),(SamplingData[[#This Row],[Total]]+SamplingData[[#This Row],[Losing Candidate]]-SamplingData[[#This Row],[Candidate 6]])/(SamplingData[[#Totals],[Winning Candidate]]-SamplingData[[#Totals],[Candidate 6]]), 0)</f>
        <v>0</v>
      </c>
      <c r="V243" s="100">
        <f>IF(AND(SamplingData[[#This Row],[Total]]&lt;&gt; 0, NOT(ISBLANK(SamplingData[[#This Row],[Candidate 7]]))),(SamplingData[[#This Row],[Total]]+SamplingData[[#This Row],[Winning Candidate]]-SamplingData[[#This Row],[Candidate 7]])/(SamplingData[[#Totals],[Winning Candidate]]-SamplingData[[#Totals],[Candidate 7]]), 0)</f>
        <v>0</v>
      </c>
      <c r="W243" s="100">
        <f>IF(AND(SamplingData[[#This Row],[Total]]&lt;&gt; 0, NOT(ISBLANK(SamplingData[[#This Row],[Candidate 8]]))),(SamplingData[[#This Row],[Total]]+SamplingData[[#This Row],[Winning Candidate]]-SamplingData[[#This Row],[Candidate 8]])/(SamplingData[[#Totals],[Winning Candidate]]-SamplingData[[#Totals],[Candidate 8]]), 0)</f>
        <v>0</v>
      </c>
      <c r="X2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3" s="100">
        <f>MAX(SamplingData[[#This Row],[Error Bound (up) - Max. possible relative overstatement - Losing Candidate]:[Error Bound (up) - Max. possible relative overstatement - Candidate 12]])</f>
        <v>1.2515011693319006E-2</v>
      </c>
      <c r="AC243" s="100">
        <f>IF(SamplingData[[#This Row],[Max Error Bound (up)]] = 0,0,SamplingData[[#This Row],[Max Error Bound (up)]]/SamplingData[[#Totals],[Max Error Bound (up)]])</f>
        <v>5.0792869621547835E-3</v>
      </c>
      <c r="AD243" s="104">
        <f>SUM($AC$5:AC243)</f>
        <v>0.42787509617363884</v>
      </c>
      <c r="AE243" s="100" t="str" cm="1">
        <f t="array" ref="AE243">IF(SamplingData[[#This Row],[up/U Selection Probability]] = 0, "Zero", TEXT(SamplingData[[#This Row],[Lower Range]], REPT("0",LEN('General Info'!$B$42))) &amp; " - " &amp; TEXT(SamplingData[[#This Row],[Upper Range]], REPT("0",LEN('General Info'!$B$42))))</f>
        <v>42280 - 42787</v>
      </c>
      <c r="AF243" s="100">
        <f>SamplingData[[#This Row],[Upper Range]]-SamplingData[[#This Row],[Span]]</f>
        <v>42279.580921148401</v>
      </c>
      <c r="AG243" s="100">
        <f>IF(ISNUMBER('General Info'!$B$42), ((SamplingData[[#This Row],[up/U Selection Probability]]) * 'General Info'!$B$44) - 1, 0)</f>
        <v>506.92869621547834</v>
      </c>
      <c r="AH243" s="100">
        <f>IF(ISNUMBER('General Info'!$B$42), (SamplingData[[#This Row],[Running (cumulative) sum]] * ('General Info'!$B$42 -'General Info'!$B$43 + 1)) + 'General Info'!$B$43 - 1, 0)</f>
        <v>42786.509617363881</v>
      </c>
      <c r="AI243" s="100" t="str">
        <f>IF(ISERROR(MATCH(SamplingData[[#This Row],[Batch by Type (p)]],SelectedPrecincts[Batch Name], 0)), "", INDEX(SelectedPrecincts[Draw], MATCH(SamplingData[[#This Row],[Batch by Type (p)]],SelectedPrecincts[Batch Name], 0)))</f>
        <v/>
      </c>
      <c r="AJ243" s="101">
        <f>IF(COUNTIF(SelectedPrecincts[Batch Name],SamplingData[[#This Row],[Batch by Type (p)]]) &lt;&gt; 0, COUNTIF(SelectedPrecincts[Batch Name],SamplingData[[#This Row],[Batch by Type (p)]]), 0)</f>
        <v>0</v>
      </c>
    </row>
    <row r="244" spans="1:36" ht="15" customHeight="1" x14ac:dyDescent="0.35">
      <c r="A244" s="98" t="s">
        <v>455</v>
      </c>
      <c r="B244" s="98">
        <v>143</v>
      </c>
      <c r="C244" s="98">
        <v>2</v>
      </c>
      <c r="D244" s="93">
        <v>4</v>
      </c>
      <c r="E244" s="93"/>
      <c r="F244" s="93"/>
      <c r="G244" s="97"/>
      <c r="H244" s="97"/>
      <c r="I244" s="93"/>
      <c r="J244" s="93"/>
      <c r="K244" s="93"/>
      <c r="L244" s="93"/>
      <c r="M244" s="93"/>
      <c r="N244" s="98">
        <v>0</v>
      </c>
      <c r="O244" s="98">
        <v>1</v>
      </c>
      <c r="P244" s="99">
        <f>SUM(SamplingData[[#This Row],[Winning Candidate]:[Under Votes]])</f>
        <v>150</v>
      </c>
      <c r="Q244" s="100">
        <f>IF(AND(SamplingData[[#This Row],[Total]]&lt;&gt; 0, NOT(ISBLANK(SamplingData[[#This Row],[Losing Candidate]]))),(SamplingData[[#This Row],[Total]]+SamplingData[[#This Row],[Winning Candidate]]-SamplingData[[#This Row],[Losing Candidate]])/(SamplingData[[#Totals],[Winning Candidate]]-SamplingData[[#Totals],[Losing Candidate]]), 0)</f>
        <v>1.8393274761393085E-2</v>
      </c>
      <c r="R244" s="100">
        <f>IF(AND(SamplingData[[#This Row],[Total]]&lt;&gt; 0, NOT(ISBLANK(SamplingData[[#This Row],[Candidate 3]]))),(SamplingData[[#This Row],[Total]]+SamplingData[[#This Row],[Winning Candidate]]-SamplingData[[#This Row],[Candidate 3]])/(SamplingData[[#Totals],[Winning Candidate]]-SamplingData[[#Totals],[Candidate 3]]), 0)</f>
        <v>1.6312937457665388E-2</v>
      </c>
      <c r="S244" s="100">
        <f>IF(AND(SamplingData[[#This Row],[Total]]&lt;&gt; 0, NOT(ISBLANK(SamplingData[[#This Row],[Candidate 4]]))),(SamplingData[[#This Row],[Total]]+SamplingData[[#This Row],[Winning Candidate]]-SamplingData[[#This Row],[Candidate 4]])/(SamplingData[[#Totals],[Winning Candidate]]-SamplingData[[#Totals],[Candidate 4]]), 0)</f>
        <v>0</v>
      </c>
      <c r="T244" s="100">
        <f>IF(AND(SamplingData[[#This Row],[Total]]&lt;&gt; 0, NOT(ISBLANK(SamplingData[[#This Row],[Candidate 5]]))),(SamplingData[[#This Row],[Total]]+SamplingData[[#This Row],[Winning Candidate]]-SamplingData[[#This Row],[Candidate 5]])/(SamplingData[[#Totals],[Winning Candidate]]-SamplingData[[#Totals],[Candidate 5]]), 0)</f>
        <v>0</v>
      </c>
      <c r="U244" s="100">
        <f>IF(AND(SamplingData[[#This Row],[Total]]&lt;&gt; 0, NOT(ISBLANK(SamplingData[[#This Row],[Candidate 6]]))),(SamplingData[[#This Row],[Total]]+SamplingData[[#This Row],[Losing Candidate]]-SamplingData[[#This Row],[Candidate 6]])/(SamplingData[[#Totals],[Winning Candidate]]-SamplingData[[#Totals],[Candidate 6]]), 0)</f>
        <v>0</v>
      </c>
      <c r="V244" s="100">
        <f>IF(AND(SamplingData[[#This Row],[Total]]&lt;&gt; 0, NOT(ISBLANK(SamplingData[[#This Row],[Candidate 7]]))),(SamplingData[[#This Row],[Total]]+SamplingData[[#This Row],[Winning Candidate]]-SamplingData[[#This Row],[Candidate 7]])/(SamplingData[[#Totals],[Winning Candidate]]-SamplingData[[#Totals],[Candidate 7]]), 0)</f>
        <v>0</v>
      </c>
      <c r="W244" s="100">
        <f>IF(AND(SamplingData[[#This Row],[Total]]&lt;&gt; 0, NOT(ISBLANK(SamplingData[[#This Row],[Candidate 8]]))),(SamplingData[[#This Row],[Total]]+SamplingData[[#This Row],[Winning Candidate]]-SamplingData[[#This Row],[Candidate 8]])/(SamplingData[[#Totals],[Winning Candidate]]-SamplingData[[#Totals],[Candidate 8]]), 0)</f>
        <v>0</v>
      </c>
      <c r="X2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4" s="100">
        <f>MAX(SamplingData[[#This Row],[Error Bound (up) - Max. possible relative overstatement - Losing Candidate]:[Error Bound (up) - Max. possible relative overstatement - Candidate 12]])</f>
        <v>1.8393274761393085E-2</v>
      </c>
      <c r="AC244" s="100">
        <f>IF(SamplingData[[#This Row],[Max Error Bound (up)]] = 0,0,SamplingData[[#This Row],[Max Error Bound (up)]]/SamplingData[[#Totals],[Max Error Bound (up)]])</f>
        <v>7.4650126565002119E-3</v>
      </c>
      <c r="AD244" s="104">
        <f>SUM($AC$5:AC244)</f>
        <v>0.43534010883013907</v>
      </c>
      <c r="AE244" s="100" t="str" cm="1">
        <f t="array" ref="AE244">IF(SamplingData[[#This Row],[up/U Selection Probability]] = 0, "Zero", TEXT(SamplingData[[#This Row],[Lower Range]], REPT("0",LEN('General Info'!$B$42))) &amp; " - " &amp; TEXT(SamplingData[[#This Row],[Upper Range]], REPT("0",LEN('General Info'!$B$42))))</f>
        <v>42788 - 43533</v>
      </c>
      <c r="AF244" s="100">
        <f>SamplingData[[#This Row],[Upper Range]]-SamplingData[[#This Row],[Span]]</f>
        <v>42787.509617363889</v>
      </c>
      <c r="AG244" s="100">
        <f>IF(ISNUMBER('General Info'!$B$42), ((SamplingData[[#This Row],[up/U Selection Probability]]) * 'General Info'!$B$44) - 1, 0)</f>
        <v>745.5012656500212</v>
      </c>
      <c r="AH244" s="100">
        <f>IF(ISNUMBER('General Info'!$B$42), (SamplingData[[#This Row],[Running (cumulative) sum]] * ('General Info'!$B$42 -'General Info'!$B$43 + 1)) + 'General Info'!$B$43 - 1, 0)</f>
        <v>43533.010883013907</v>
      </c>
      <c r="AI244" s="100" t="str">
        <f>IF(ISERROR(MATCH(SamplingData[[#This Row],[Batch by Type (p)]],SelectedPrecincts[Batch Name], 0)), "", INDEX(SelectedPrecincts[Draw], MATCH(SamplingData[[#This Row],[Batch by Type (p)]],SelectedPrecincts[Batch Name], 0)))</f>
        <v/>
      </c>
      <c r="AJ244" s="101">
        <f>IF(COUNTIF(SelectedPrecincts[Batch Name],SamplingData[[#This Row],[Batch by Type (p)]]) &lt;&gt; 0, COUNTIF(SelectedPrecincts[Batch Name],SamplingData[[#This Row],[Batch by Type (p)]]), 0)</f>
        <v>0</v>
      </c>
    </row>
    <row r="245" spans="1:36" ht="15" customHeight="1" x14ac:dyDescent="0.35">
      <c r="A245" s="98" t="s">
        <v>456</v>
      </c>
      <c r="B245" s="98">
        <v>117</v>
      </c>
      <c r="C245" s="98">
        <v>6</v>
      </c>
      <c r="D245" s="93">
        <v>5</v>
      </c>
      <c r="E245" s="93"/>
      <c r="F245" s="93"/>
      <c r="G245" s="97"/>
      <c r="H245" s="97"/>
      <c r="I245" s="93"/>
      <c r="J245" s="93"/>
      <c r="K245" s="93"/>
      <c r="L245" s="93"/>
      <c r="M245" s="93"/>
      <c r="N245" s="98">
        <v>0</v>
      </c>
      <c r="O245" s="98">
        <v>1</v>
      </c>
      <c r="P245" s="99">
        <f>SUM(SamplingData[[#This Row],[Winning Candidate]:[Under Votes]])</f>
        <v>129</v>
      </c>
      <c r="Q245" s="100">
        <f>IF(AND(SamplingData[[#This Row],[Total]]&lt;&gt; 0, NOT(ISBLANK(SamplingData[[#This Row],[Losing Candidate]]))),(SamplingData[[#This Row],[Total]]+SamplingData[[#This Row],[Winning Candidate]]-SamplingData[[#This Row],[Losing Candidate]])/(SamplingData[[#Totals],[Winning Candidate]]-SamplingData[[#Totals],[Losing Candidate]]), 0)</f>
        <v>1.5169711143416977E-2</v>
      </c>
      <c r="R245" s="100">
        <f>IF(AND(SamplingData[[#This Row],[Total]]&lt;&gt; 0, NOT(ISBLANK(SamplingData[[#This Row],[Candidate 3]]))),(SamplingData[[#This Row],[Total]]+SamplingData[[#This Row],[Winning Candidate]]-SamplingData[[#This Row],[Candidate 3]])/(SamplingData[[#Totals],[Winning Candidate]]-SamplingData[[#Totals],[Candidate 3]]), 0)</f>
        <v>1.3603522239783247E-2</v>
      </c>
      <c r="S245" s="100">
        <f>IF(AND(SamplingData[[#This Row],[Total]]&lt;&gt; 0, NOT(ISBLANK(SamplingData[[#This Row],[Candidate 4]]))),(SamplingData[[#This Row],[Total]]+SamplingData[[#This Row],[Winning Candidate]]-SamplingData[[#This Row],[Candidate 4]])/(SamplingData[[#Totals],[Winning Candidate]]-SamplingData[[#Totals],[Candidate 4]]), 0)</f>
        <v>0</v>
      </c>
      <c r="T245" s="100">
        <f>IF(AND(SamplingData[[#This Row],[Total]]&lt;&gt; 0, NOT(ISBLANK(SamplingData[[#This Row],[Candidate 5]]))),(SamplingData[[#This Row],[Total]]+SamplingData[[#This Row],[Winning Candidate]]-SamplingData[[#This Row],[Candidate 5]])/(SamplingData[[#Totals],[Winning Candidate]]-SamplingData[[#Totals],[Candidate 5]]), 0)</f>
        <v>0</v>
      </c>
      <c r="U245" s="100">
        <f>IF(AND(SamplingData[[#This Row],[Total]]&lt;&gt; 0, NOT(ISBLANK(SamplingData[[#This Row],[Candidate 6]]))),(SamplingData[[#This Row],[Total]]+SamplingData[[#This Row],[Losing Candidate]]-SamplingData[[#This Row],[Candidate 6]])/(SamplingData[[#Totals],[Winning Candidate]]-SamplingData[[#Totals],[Candidate 6]]), 0)</f>
        <v>0</v>
      </c>
      <c r="V245" s="100">
        <f>IF(AND(SamplingData[[#This Row],[Total]]&lt;&gt; 0, NOT(ISBLANK(SamplingData[[#This Row],[Candidate 7]]))),(SamplingData[[#This Row],[Total]]+SamplingData[[#This Row],[Winning Candidate]]-SamplingData[[#This Row],[Candidate 7]])/(SamplingData[[#Totals],[Winning Candidate]]-SamplingData[[#Totals],[Candidate 7]]), 0)</f>
        <v>0</v>
      </c>
      <c r="W245" s="100">
        <f>IF(AND(SamplingData[[#This Row],[Total]]&lt;&gt; 0, NOT(ISBLANK(SamplingData[[#This Row],[Candidate 8]]))),(SamplingData[[#This Row],[Total]]+SamplingData[[#This Row],[Winning Candidate]]-SamplingData[[#This Row],[Candidate 8]])/(SamplingData[[#Totals],[Winning Candidate]]-SamplingData[[#Totals],[Candidate 8]]), 0)</f>
        <v>0</v>
      </c>
      <c r="X2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5" s="100">
        <f>MAX(SamplingData[[#This Row],[Error Bound (up) - Max. possible relative overstatement - Losing Candidate]:[Error Bound (up) - Max. possible relative overstatement - Candidate 12]])</f>
        <v>1.5169711143416977E-2</v>
      </c>
      <c r="AC245" s="100">
        <f>IF(SamplingData[[#This Row],[Max Error Bound (up)]] = 0,0,SamplingData[[#This Row],[Max Error Bound (up)]]/SamplingData[[#Totals],[Max Error Bound (up)]])</f>
        <v>6.1567114692785254E-3</v>
      </c>
      <c r="AD245" s="104">
        <f>SUM($AC$5:AC245)</f>
        <v>0.44149682029941761</v>
      </c>
      <c r="AE245" s="100" t="str" cm="1">
        <f t="array" ref="AE245">IF(SamplingData[[#This Row],[up/U Selection Probability]] = 0, "Zero", TEXT(SamplingData[[#This Row],[Lower Range]], REPT("0",LEN('General Info'!$B$42))) &amp; " - " &amp; TEXT(SamplingData[[#This Row],[Upper Range]], REPT("0",LEN('General Info'!$B$42))))</f>
        <v>43534 - 44149</v>
      </c>
      <c r="AF245" s="100">
        <f>SamplingData[[#This Row],[Upper Range]]-SamplingData[[#This Row],[Span]]</f>
        <v>43534.010883013907</v>
      </c>
      <c r="AG245" s="100">
        <f>IF(ISNUMBER('General Info'!$B$42), ((SamplingData[[#This Row],[up/U Selection Probability]]) * 'General Info'!$B$44) - 1, 0)</f>
        <v>614.67114692785253</v>
      </c>
      <c r="AH245" s="100">
        <f>IF(ISNUMBER('General Info'!$B$42), (SamplingData[[#This Row],[Running (cumulative) sum]] * ('General Info'!$B$42 -'General Info'!$B$43 + 1)) + 'General Info'!$B$43 - 1, 0)</f>
        <v>44148.68202994176</v>
      </c>
      <c r="AI245" s="100" t="str">
        <f>IF(ISERROR(MATCH(SamplingData[[#This Row],[Batch by Type (p)]],SelectedPrecincts[Batch Name], 0)), "", INDEX(SelectedPrecincts[Draw], MATCH(SamplingData[[#This Row],[Batch by Type (p)]],SelectedPrecincts[Batch Name], 0)))</f>
        <v/>
      </c>
      <c r="AJ245" s="101">
        <f>IF(COUNTIF(SelectedPrecincts[Batch Name],SamplingData[[#This Row],[Batch by Type (p)]]) &lt;&gt; 0, COUNTIF(SelectedPrecincts[Batch Name],SamplingData[[#This Row],[Batch by Type (p)]]), 0)</f>
        <v>0</v>
      </c>
    </row>
    <row r="246" spans="1:36" ht="15" customHeight="1" x14ac:dyDescent="0.35">
      <c r="A246" s="98" t="s">
        <v>457</v>
      </c>
      <c r="B246" s="98">
        <v>109</v>
      </c>
      <c r="C246" s="98">
        <v>3</v>
      </c>
      <c r="D246" s="93">
        <v>2</v>
      </c>
      <c r="E246" s="93"/>
      <c r="F246" s="93"/>
      <c r="G246" s="97"/>
      <c r="H246" s="97"/>
      <c r="I246" s="93"/>
      <c r="J246" s="93"/>
      <c r="K246" s="93"/>
      <c r="L246" s="93"/>
      <c r="M246" s="93"/>
      <c r="N246" s="98">
        <v>0</v>
      </c>
      <c r="O246" s="98">
        <v>1</v>
      </c>
      <c r="P246" s="99">
        <f>SUM(SamplingData[[#This Row],[Winning Candidate]:[Under Votes]])</f>
        <v>115</v>
      </c>
      <c r="Q246" s="100">
        <f>IF(AND(SamplingData[[#This Row],[Total]]&lt;&gt; 0, NOT(ISBLANK(SamplingData[[#This Row],[Losing Candidate]]))),(SamplingData[[#This Row],[Total]]+SamplingData[[#This Row],[Winning Candidate]]-SamplingData[[#This Row],[Losing Candidate]])/(SamplingData[[#Totals],[Winning Candidate]]-SamplingData[[#Totals],[Losing Candidate]]), 0)</f>
        <v>1.3968775677896467E-2</v>
      </c>
      <c r="R246" s="100">
        <f>IF(AND(SamplingData[[#This Row],[Total]]&lt;&gt; 0, NOT(ISBLANK(SamplingData[[#This Row],[Candidate 3]]))),(SamplingData[[#This Row],[Total]]+SamplingData[[#This Row],[Winning Candidate]]-SamplingData[[#This Row],[Candidate 3]])/(SamplingData[[#Totals],[Winning Candidate]]-SamplingData[[#Totals],[Candidate 3]]), 0)</f>
        <v>1.25310453827049E-2</v>
      </c>
      <c r="S246" s="100">
        <f>IF(AND(SamplingData[[#This Row],[Total]]&lt;&gt; 0, NOT(ISBLANK(SamplingData[[#This Row],[Candidate 4]]))),(SamplingData[[#This Row],[Total]]+SamplingData[[#This Row],[Winning Candidate]]-SamplingData[[#This Row],[Candidate 4]])/(SamplingData[[#Totals],[Winning Candidate]]-SamplingData[[#Totals],[Candidate 4]]), 0)</f>
        <v>0</v>
      </c>
      <c r="T246" s="100">
        <f>IF(AND(SamplingData[[#This Row],[Total]]&lt;&gt; 0, NOT(ISBLANK(SamplingData[[#This Row],[Candidate 5]]))),(SamplingData[[#This Row],[Total]]+SamplingData[[#This Row],[Winning Candidate]]-SamplingData[[#This Row],[Candidate 5]])/(SamplingData[[#Totals],[Winning Candidate]]-SamplingData[[#Totals],[Candidate 5]]), 0)</f>
        <v>0</v>
      </c>
      <c r="U246" s="100">
        <f>IF(AND(SamplingData[[#This Row],[Total]]&lt;&gt; 0, NOT(ISBLANK(SamplingData[[#This Row],[Candidate 6]]))),(SamplingData[[#This Row],[Total]]+SamplingData[[#This Row],[Losing Candidate]]-SamplingData[[#This Row],[Candidate 6]])/(SamplingData[[#Totals],[Winning Candidate]]-SamplingData[[#Totals],[Candidate 6]]), 0)</f>
        <v>0</v>
      </c>
      <c r="V246" s="100">
        <f>IF(AND(SamplingData[[#This Row],[Total]]&lt;&gt; 0, NOT(ISBLANK(SamplingData[[#This Row],[Candidate 7]]))),(SamplingData[[#This Row],[Total]]+SamplingData[[#This Row],[Winning Candidate]]-SamplingData[[#This Row],[Candidate 7]])/(SamplingData[[#Totals],[Winning Candidate]]-SamplingData[[#Totals],[Candidate 7]]), 0)</f>
        <v>0</v>
      </c>
      <c r="W246" s="100">
        <f>IF(AND(SamplingData[[#This Row],[Total]]&lt;&gt; 0, NOT(ISBLANK(SamplingData[[#This Row],[Candidate 8]]))),(SamplingData[[#This Row],[Total]]+SamplingData[[#This Row],[Winning Candidate]]-SamplingData[[#This Row],[Candidate 8]])/(SamplingData[[#Totals],[Winning Candidate]]-SamplingData[[#Totals],[Candidate 8]]), 0)</f>
        <v>0</v>
      </c>
      <c r="X2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6" s="100">
        <f>MAX(SamplingData[[#This Row],[Error Bound (up) - Max. possible relative overstatement - Losing Candidate]:[Error Bound (up) - Max. possible relative overstatement - Candidate 12]])</f>
        <v>1.3968775677896467E-2</v>
      </c>
      <c r="AC246" s="100">
        <f>IF(SamplingData[[#This Row],[Max Error Bound (up)]] = 0,0,SamplingData[[#This Row],[Max Error Bound (up)]]/SamplingData[[#Totals],[Max Error Bound (up)]])</f>
        <v>5.6693051446273087E-3</v>
      </c>
      <c r="AD246" s="104">
        <f>SUM($AC$5:AC246)</f>
        <v>0.44716612544404494</v>
      </c>
      <c r="AE246" s="100" t="str" cm="1">
        <f t="array" ref="AE246">IF(SamplingData[[#This Row],[up/U Selection Probability]] = 0, "Zero", TEXT(SamplingData[[#This Row],[Lower Range]], REPT("0",LEN('General Info'!$B$42))) &amp; " - " &amp; TEXT(SamplingData[[#This Row],[Upper Range]], REPT("0",LEN('General Info'!$B$42))))</f>
        <v>44150 - 44716</v>
      </c>
      <c r="AF246" s="100">
        <f>SamplingData[[#This Row],[Upper Range]]-SamplingData[[#This Row],[Span]]</f>
        <v>44149.682029941767</v>
      </c>
      <c r="AG246" s="100">
        <f>IF(ISNUMBER('General Info'!$B$42), ((SamplingData[[#This Row],[up/U Selection Probability]]) * 'General Info'!$B$44) - 1, 0)</f>
        <v>565.93051446273091</v>
      </c>
      <c r="AH246" s="100">
        <f>IF(ISNUMBER('General Info'!$B$42), (SamplingData[[#This Row],[Running (cumulative) sum]] * ('General Info'!$B$42 -'General Info'!$B$43 + 1)) + 'General Info'!$B$43 - 1, 0)</f>
        <v>44715.612544404496</v>
      </c>
      <c r="AI246" s="100" t="str">
        <f>IF(ISERROR(MATCH(SamplingData[[#This Row],[Batch by Type (p)]],SelectedPrecincts[Batch Name], 0)), "", INDEX(SelectedPrecincts[Draw], MATCH(SamplingData[[#This Row],[Batch by Type (p)]],SelectedPrecincts[Batch Name], 0)))</f>
        <v/>
      </c>
      <c r="AJ246" s="101">
        <f>IF(COUNTIF(SelectedPrecincts[Batch Name],SamplingData[[#This Row],[Batch by Type (p)]]) &lt;&gt; 0, COUNTIF(SelectedPrecincts[Batch Name],SamplingData[[#This Row],[Batch by Type (p)]]), 0)</f>
        <v>0</v>
      </c>
    </row>
    <row r="247" spans="1:36" ht="15" customHeight="1" x14ac:dyDescent="0.35">
      <c r="A247" s="98" t="s">
        <v>458</v>
      </c>
      <c r="B247" s="98">
        <v>27</v>
      </c>
      <c r="C247" s="98">
        <v>3</v>
      </c>
      <c r="D247" s="93">
        <v>1</v>
      </c>
      <c r="E247" s="93"/>
      <c r="F247" s="93"/>
      <c r="G247" s="97"/>
      <c r="H247" s="97"/>
      <c r="I247" s="93"/>
      <c r="J247" s="93"/>
      <c r="K247" s="93"/>
      <c r="L247" s="93"/>
      <c r="M247" s="93"/>
      <c r="N247" s="98">
        <v>0</v>
      </c>
      <c r="O247" s="98">
        <v>0</v>
      </c>
      <c r="P247" s="99">
        <f>SUM(SamplingData[[#This Row],[Winning Candidate]:[Under Votes]])</f>
        <v>31</v>
      </c>
      <c r="Q247" s="100">
        <f>IF(AND(SamplingData[[#This Row],[Total]]&lt;&gt; 0, NOT(ISBLANK(SamplingData[[#This Row],[Losing Candidate]]))),(SamplingData[[#This Row],[Total]]+SamplingData[[#This Row],[Winning Candidate]]-SamplingData[[#This Row],[Losing Candidate]])/(SamplingData[[#Totals],[Winning Candidate]]-SamplingData[[#Totals],[Losing Candidate]]), 0)</f>
        <v>3.4763921370330572E-3</v>
      </c>
      <c r="R247" s="100">
        <f>IF(AND(SamplingData[[#This Row],[Total]]&lt;&gt; 0, NOT(ISBLANK(SamplingData[[#This Row],[Candidate 3]]))),(SamplingData[[#This Row],[Total]]+SamplingData[[#This Row],[Winning Candidate]]-SamplingData[[#This Row],[Candidate 3]])/(SamplingData[[#Totals],[Winning Candidate]]-SamplingData[[#Totals],[Candidate 3]]), 0)</f>
        <v>3.2174305712350418E-3</v>
      </c>
      <c r="S247" s="100">
        <f>IF(AND(SamplingData[[#This Row],[Total]]&lt;&gt; 0, NOT(ISBLANK(SamplingData[[#This Row],[Candidate 4]]))),(SamplingData[[#This Row],[Total]]+SamplingData[[#This Row],[Winning Candidate]]-SamplingData[[#This Row],[Candidate 4]])/(SamplingData[[#Totals],[Winning Candidate]]-SamplingData[[#Totals],[Candidate 4]]), 0)</f>
        <v>0</v>
      </c>
      <c r="T247" s="100">
        <f>IF(AND(SamplingData[[#This Row],[Total]]&lt;&gt; 0, NOT(ISBLANK(SamplingData[[#This Row],[Candidate 5]]))),(SamplingData[[#This Row],[Total]]+SamplingData[[#This Row],[Winning Candidate]]-SamplingData[[#This Row],[Candidate 5]])/(SamplingData[[#Totals],[Winning Candidate]]-SamplingData[[#Totals],[Candidate 5]]), 0)</f>
        <v>0</v>
      </c>
      <c r="U247" s="100">
        <f>IF(AND(SamplingData[[#This Row],[Total]]&lt;&gt; 0, NOT(ISBLANK(SamplingData[[#This Row],[Candidate 6]]))),(SamplingData[[#This Row],[Total]]+SamplingData[[#This Row],[Losing Candidate]]-SamplingData[[#This Row],[Candidate 6]])/(SamplingData[[#Totals],[Winning Candidate]]-SamplingData[[#Totals],[Candidate 6]]), 0)</f>
        <v>0</v>
      </c>
      <c r="V247" s="100">
        <f>IF(AND(SamplingData[[#This Row],[Total]]&lt;&gt; 0, NOT(ISBLANK(SamplingData[[#This Row],[Candidate 7]]))),(SamplingData[[#This Row],[Total]]+SamplingData[[#This Row],[Winning Candidate]]-SamplingData[[#This Row],[Candidate 7]])/(SamplingData[[#Totals],[Winning Candidate]]-SamplingData[[#Totals],[Candidate 7]]), 0)</f>
        <v>0</v>
      </c>
      <c r="W247" s="100">
        <f>IF(AND(SamplingData[[#This Row],[Total]]&lt;&gt; 0, NOT(ISBLANK(SamplingData[[#This Row],[Candidate 8]]))),(SamplingData[[#This Row],[Total]]+SamplingData[[#This Row],[Winning Candidate]]-SamplingData[[#This Row],[Candidate 8]])/(SamplingData[[#Totals],[Winning Candidate]]-SamplingData[[#Totals],[Candidate 8]]), 0)</f>
        <v>0</v>
      </c>
      <c r="X2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7" s="100">
        <f>MAX(SamplingData[[#This Row],[Error Bound (up) - Max. possible relative overstatement - Losing Candidate]:[Error Bound (up) - Max. possible relative overstatement - Candidate 12]])</f>
        <v>3.4763921370330572E-3</v>
      </c>
      <c r="AC247" s="100">
        <f>IF(SamplingData[[#This Row],[Max Error Bound (up)]] = 0,0,SamplingData[[#This Row],[Max Error Bound (up)]]/SamplingData[[#Totals],[Max Error Bound (up)]])</f>
        <v>1.4109130450429953E-3</v>
      </c>
      <c r="AD247" s="104">
        <f>SUM($AC$5:AC247)</f>
        <v>0.44857703848908792</v>
      </c>
      <c r="AE247" s="100" t="str" cm="1">
        <f t="array" ref="AE247">IF(SamplingData[[#This Row],[up/U Selection Probability]] = 0, "Zero", TEXT(SamplingData[[#This Row],[Lower Range]], REPT("0",LEN('General Info'!$B$42))) &amp; " - " &amp; TEXT(SamplingData[[#This Row],[Upper Range]], REPT("0",LEN('General Info'!$B$42))))</f>
        <v>44717 - 44857</v>
      </c>
      <c r="AF247" s="100">
        <f>SamplingData[[#This Row],[Upper Range]]-SamplingData[[#This Row],[Span]]</f>
        <v>44716.612544404496</v>
      </c>
      <c r="AG247" s="100">
        <f>IF(ISNUMBER('General Info'!$B$42), ((SamplingData[[#This Row],[up/U Selection Probability]]) * 'General Info'!$B$44) - 1, 0)</f>
        <v>140.09130450429953</v>
      </c>
      <c r="AH247" s="100">
        <f>IF(ISNUMBER('General Info'!$B$42), (SamplingData[[#This Row],[Running (cumulative) sum]] * ('General Info'!$B$42 -'General Info'!$B$43 + 1)) + 'General Info'!$B$43 - 1, 0)</f>
        <v>44856.703848908794</v>
      </c>
      <c r="AI247" s="100" t="str">
        <f>IF(ISERROR(MATCH(SamplingData[[#This Row],[Batch by Type (p)]],SelectedPrecincts[Batch Name], 0)), "", INDEX(SelectedPrecincts[Draw], MATCH(SamplingData[[#This Row],[Batch by Type (p)]],SelectedPrecincts[Batch Name], 0)))</f>
        <v/>
      </c>
      <c r="AJ247" s="101">
        <f>IF(COUNTIF(SelectedPrecincts[Batch Name],SamplingData[[#This Row],[Batch by Type (p)]]) &lt;&gt; 0, COUNTIF(SelectedPrecincts[Batch Name],SamplingData[[#This Row],[Batch by Type (p)]]), 0)</f>
        <v>0</v>
      </c>
    </row>
    <row r="248" spans="1:36" ht="15" customHeight="1" x14ac:dyDescent="0.35">
      <c r="A248" s="98" t="s">
        <v>459</v>
      </c>
      <c r="B248" s="98">
        <v>140</v>
      </c>
      <c r="C248" s="98">
        <v>0</v>
      </c>
      <c r="D248" s="93">
        <v>1</v>
      </c>
      <c r="E248" s="93"/>
      <c r="F248" s="93"/>
      <c r="G248" s="97"/>
      <c r="H248" s="97"/>
      <c r="I248" s="93"/>
      <c r="J248" s="93"/>
      <c r="K248" s="93"/>
      <c r="L248" s="93"/>
      <c r="M248" s="93"/>
      <c r="N248" s="98">
        <v>0</v>
      </c>
      <c r="O248" s="98">
        <v>0</v>
      </c>
      <c r="P248" s="99">
        <f>SUM(SamplingData[[#This Row],[Winning Candidate]:[Under Votes]])</f>
        <v>141</v>
      </c>
      <c r="Q248" s="100">
        <f>IF(AND(SamplingData[[#This Row],[Total]]&lt;&gt; 0, NOT(ISBLANK(SamplingData[[#This Row],[Losing Candidate]]))),(SamplingData[[#This Row],[Total]]+SamplingData[[#This Row],[Winning Candidate]]-SamplingData[[#This Row],[Losing Candidate]])/(SamplingData[[#Totals],[Winning Candidate]]-SamplingData[[#Totals],[Losing Candidate]]), 0)</f>
        <v>1.7761203463750711E-2</v>
      </c>
      <c r="R248" s="100">
        <f>IF(AND(SamplingData[[#This Row],[Total]]&lt;&gt; 0, NOT(ISBLANK(SamplingData[[#This Row],[Candidate 3]]))),(SamplingData[[#This Row],[Total]]+SamplingData[[#This Row],[Winning Candidate]]-SamplingData[[#This Row],[Candidate 3]])/(SamplingData[[#Totals],[Winning Candidate]]-SamplingData[[#Totals],[Candidate 3]]), 0)</f>
        <v>1.5804922104312485E-2</v>
      </c>
      <c r="S248" s="100">
        <f>IF(AND(SamplingData[[#This Row],[Total]]&lt;&gt; 0, NOT(ISBLANK(SamplingData[[#This Row],[Candidate 4]]))),(SamplingData[[#This Row],[Total]]+SamplingData[[#This Row],[Winning Candidate]]-SamplingData[[#This Row],[Candidate 4]])/(SamplingData[[#Totals],[Winning Candidate]]-SamplingData[[#Totals],[Candidate 4]]), 0)</f>
        <v>0</v>
      </c>
      <c r="T248" s="100">
        <f>IF(AND(SamplingData[[#This Row],[Total]]&lt;&gt; 0, NOT(ISBLANK(SamplingData[[#This Row],[Candidate 5]]))),(SamplingData[[#This Row],[Total]]+SamplingData[[#This Row],[Winning Candidate]]-SamplingData[[#This Row],[Candidate 5]])/(SamplingData[[#Totals],[Winning Candidate]]-SamplingData[[#Totals],[Candidate 5]]), 0)</f>
        <v>0</v>
      </c>
      <c r="U248" s="100">
        <f>IF(AND(SamplingData[[#This Row],[Total]]&lt;&gt; 0, NOT(ISBLANK(SamplingData[[#This Row],[Candidate 6]]))),(SamplingData[[#This Row],[Total]]+SamplingData[[#This Row],[Losing Candidate]]-SamplingData[[#This Row],[Candidate 6]])/(SamplingData[[#Totals],[Winning Candidate]]-SamplingData[[#Totals],[Candidate 6]]), 0)</f>
        <v>0</v>
      </c>
      <c r="V248" s="100">
        <f>IF(AND(SamplingData[[#This Row],[Total]]&lt;&gt; 0, NOT(ISBLANK(SamplingData[[#This Row],[Candidate 7]]))),(SamplingData[[#This Row],[Total]]+SamplingData[[#This Row],[Winning Candidate]]-SamplingData[[#This Row],[Candidate 7]])/(SamplingData[[#Totals],[Winning Candidate]]-SamplingData[[#Totals],[Candidate 7]]), 0)</f>
        <v>0</v>
      </c>
      <c r="W248" s="100">
        <f>IF(AND(SamplingData[[#This Row],[Total]]&lt;&gt; 0, NOT(ISBLANK(SamplingData[[#This Row],[Candidate 8]]))),(SamplingData[[#This Row],[Total]]+SamplingData[[#This Row],[Winning Candidate]]-SamplingData[[#This Row],[Candidate 8]])/(SamplingData[[#Totals],[Winning Candidate]]-SamplingData[[#Totals],[Candidate 8]]), 0)</f>
        <v>0</v>
      </c>
      <c r="X2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8" s="100">
        <f>MAX(SamplingData[[#This Row],[Error Bound (up) - Max. possible relative overstatement - Losing Candidate]:[Error Bound (up) - Max. possible relative overstatement - Candidate 12]])</f>
        <v>1.7761203463750711E-2</v>
      </c>
      <c r="AC248" s="100">
        <f>IF(SamplingData[[#This Row],[Max Error Bound (up)]] = 0,0,SamplingData[[#This Row],[Max Error Bound (up)]]/SamplingData[[#Totals],[Max Error Bound (up)]])</f>
        <v>7.2084830119469399E-3</v>
      </c>
      <c r="AD248" s="104">
        <f>SUM($AC$5:AC248)</f>
        <v>0.45578552150103485</v>
      </c>
      <c r="AE248" s="100" t="str" cm="1">
        <f t="array" ref="AE248">IF(SamplingData[[#This Row],[up/U Selection Probability]] = 0, "Zero", TEXT(SamplingData[[#This Row],[Lower Range]], REPT("0",LEN('General Info'!$B$42))) &amp; " - " &amp; TEXT(SamplingData[[#This Row],[Upper Range]], REPT("0",LEN('General Info'!$B$42))))</f>
        <v>44858 - 45578</v>
      </c>
      <c r="AF248" s="100">
        <f>SamplingData[[#This Row],[Upper Range]]-SamplingData[[#This Row],[Span]]</f>
        <v>44857.703848908786</v>
      </c>
      <c r="AG248" s="100">
        <f>IF(ISNUMBER('General Info'!$B$42), ((SamplingData[[#This Row],[up/U Selection Probability]]) * 'General Info'!$B$44) - 1, 0)</f>
        <v>719.84830119469393</v>
      </c>
      <c r="AH248" s="100">
        <f>IF(ISNUMBER('General Info'!$B$42), (SamplingData[[#This Row],[Running (cumulative) sum]] * ('General Info'!$B$42 -'General Info'!$B$43 + 1)) + 'General Info'!$B$43 - 1, 0)</f>
        <v>45577.552150103482</v>
      </c>
      <c r="AI248" s="100" t="str">
        <f>IF(ISERROR(MATCH(SamplingData[[#This Row],[Batch by Type (p)]],SelectedPrecincts[Batch Name], 0)), "", INDEX(SelectedPrecincts[Draw], MATCH(SamplingData[[#This Row],[Batch by Type (p)]],SelectedPrecincts[Batch Name], 0)))</f>
        <v/>
      </c>
      <c r="AJ248" s="101">
        <f>IF(COUNTIF(SelectedPrecincts[Batch Name],SamplingData[[#This Row],[Batch by Type (p)]]) &lt;&gt; 0, COUNTIF(SelectedPrecincts[Batch Name],SamplingData[[#This Row],[Batch by Type (p)]]), 0)</f>
        <v>0</v>
      </c>
    </row>
    <row r="249" spans="1:36" ht="15" customHeight="1" x14ac:dyDescent="0.35">
      <c r="A249" s="98" t="s">
        <v>460</v>
      </c>
      <c r="B249" s="98">
        <v>48</v>
      </c>
      <c r="C249" s="98">
        <v>3</v>
      </c>
      <c r="D249" s="93">
        <v>1</v>
      </c>
      <c r="E249" s="93"/>
      <c r="F249" s="93"/>
      <c r="G249" s="97"/>
      <c r="H249" s="97"/>
      <c r="I249" s="93"/>
      <c r="J249" s="93"/>
      <c r="K249" s="93"/>
      <c r="L249" s="93"/>
      <c r="M249" s="93"/>
      <c r="N249" s="98">
        <v>0</v>
      </c>
      <c r="O249" s="98">
        <v>0</v>
      </c>
      <c r="P249" s="99">
        <f>SUM(SamplingData[[#This Row],[Winning Candidate]:[Under Votes]])</f>
        <v>52</v>
      </c>
      <c r="Q249" s="100">
        <f>IF(AND(SamplingData[[#This Row],[Total]]&lt;&gt; 0, NOT(ISBLANK(SamplingData[[#This Row],[Losing Candidate]]))),(SamplingData[[#This Row],[Total]]+SamplingData[[#This Row],[Winning Candidate]]-SamplingData[[#This Row],[Losing Candidate]])/(SamplingData[[#Totals],[Winning Candidate]]-SamplingData[[#Totals],[Losing Candidate]]), 0)</f>
        <v>6.1310915871310287E-3</v>
      </c>
      <c r="R249" s="100">
        <f>IF(AND(SamplingData[[#This Row],[Total]]&lt;&gt; 0, NOT(ISBLANK(SamplingData[[#This Row],[Candidate 3]]))),(SamplingData[[#This Row],[Total]]+SamplingData[[#This Row],[Winning Candidate]]-SamplingData[[#This Row],[Candidate 3]])/(SamplingData[[#Totals],[Winning Candidate]]-SamplingData[[#Totals],[Candidate 3]]), 0)</f>
        <v>5.5881688868819144E-3</v>
      </c>
      <c r="S249" s="100">
        <f>IF(AND(SamplingData[[#This Row],[Total]]&lt;&gt; 0, NOT(ISBLANK(SamplingData[[#This Row],[Candidate 4]]))),(SamplingData[[#This Row],[Total]]+SamplingData[[#This Row],[Winning Candidate]]-SamplingData[[#This Row],[Candidate 4]])/(SamplingData[[#Totals],[Winning Candidate]]-SamplingData[[#Totals],[Candidate 4]]), 0)</f>
        <v>0</v>
      </c>
      <c r="T249" s="100">
        <f>IF(AND(SamplingData[[#This Row],[Total]]&lt;&gt; 0, NOT(ISBLANK(SamplingData[[#This Row],[Candidate 5]]))),(SamplingData[[#This Row],[Total]]+SamplingData[[#This Row],[Winning Candidate]]-SamplingData[[#This Row],[Candidate 5]])/(SamplingData[[#Totals],[Winning Candidate]]-SamplingData[[#Totals],[Candidate 5]]), 0)</f>
        <v>0</v>
      </c>
      <c r="U249" s="100">
        <f>IF(AND(SamplingData[[#This Row],[Total]]&lt;&gt; 0, NOT(ISBLANK(SamplingData[[#This Row],[Candidate 6]]))),(SamplingData[[#This Row],[Total]]+SamplingData[[#This Row],[Losing Candidate]]-SamplingData[[#This Row],[Candidate 6]])/(SamplingData[[#Totals],[Winning Candidate]]-SamplingData[[#Totals],[Candidate 6]]), 0)</f>
        <v>0</v>
      </c>
      <c r="V249" s="100">
        <f>IF(AND(SamplingData[[#This Row],[Total]]&lt;&gt; 0, NOT(ISBLANK(SamplingData[[#This Row],[Candidate 7]]))),(SamplingData[[#This Row],[Total]]+SamplingData[[#This Row],[Winning Candidate]]-SamplingData[[#This Row],[Candidate 7]])/(SamplingData[[#Totals],[Winning Candidate]]-SamplingData[[#Totals],[Candidate 7]]), 0)</f>
        <v>0</v>
      </c>
      <c r="W249" s="100">
        <f>IF(AND(SamplingData[[#This Row],[Total]]&lt;&gt; 0, NOT(ISBLANK(SamplingData[[#This Row],[Candidate 8]]))),(SamplingData[[#This Row],[Total]]+SamplingData[[#This Row],[Winning Candidate]]-SamplingData[[#This Row],[Candidate 8]])/(SamplingData[[#Totals],[Winning Candidate]]-SamplingData[[#Totals],[Candidate 8]]), 0)</f>
        <v>0</v>
      </c>
      <c r="X2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9" s="100">
        <f>MAX(SamplingData[[#This Row],[Error Bound (up) - Max. possible relative overstatement - Losing Candidate]:[Error Bound (up) - Max. possible relative overstatement - Candidate 12]])</f>
        <v>6.1310915871310287E-3</v>
      </c>
      <c r="AC249" s="100">
        <f>IF(SamplingData[[#This Row],[Max Error Bound (up)]] = 0,0,SamplingData[[#This Row],[Max Error Bound (up)]]/SamplingData[[#Totals],[Max Error Bound (up)]])</f>
        <v>2.4883375521667374E-3</v>
      </c>
      <c r="AD249" s="104">
        <f>SUM($AC$5:AC249)</f>
        <v>0.45827385905320162</v>
      </c>
      <c r="AE249" s="100" t="str" cm="1">
        <f t="array" ref="AE249">IF(SamplingData[[#This Row],[up/U Selection Probability]] = 0, "Zero", TEXT(SamplingData[[#This Row],[Lower Range]], REPT("0",LEN('General Info'!$B$42))) &amp; " - " &amp; TEXT(SamplingData[[#This Row],[Upper Range]], REPT("0",LEN('General Info'!$B$42))))</f>
        <v>45579 - 45826</v>
      </c>
      <c r="AF249" s="100">
        <f>SamplingData[[#This Row],[Upper Range]]-SamplingData[[#This Row],[Span]]</f>
        <v>45578.552150103489</v>
      </c>
      <c r="AG249" s="100">
        <f>IF(ISNUMBER('General Info'!$B$42), ((SamplingData[[#This Row],[up/U Selection Probability]]) * 'General Info'!$B$44) - 1, 0)</f>
        <v>247.83375521667375</v>
      </c>
      <c r="AH249" s="100">
        <f>IF(ISNUMBER('General Info'!$B$42), (SamplingData[[#This Row],[Running (cumulative) sum]] * ('General Info'!$B$42 -'General Info'!$B$43 + 1)) + 'General Info'!$B$43 - 1, 0)</f>
        <v>45826.38590532016</v>
      </c>
      <c r="AI249" s="100" t="str">
        <f>IF(ISERROR(MATCH(SamplingData[[#This Row],[Batch by Type (p)]],SelectedPrecincts[Batch Name], 0)), "", INDEX(SelectedPrecincts[Draw], MATCH(SamplingData[[#This Row],[Batch by Type (p)]],SelectedPrecincts[Batch Name], 0)))</f>
        <v/>
      </c>
      <c r="AJ249" s="101">
        <f>IF(COUNTIF(SelectedPrecincts[Batch Name],SamplingData[[#This Row],[Batch by Type (p)]]) &lt;&gt; 0, COUNTIF(SelectedPrecincts[Batch Name],SamplingData[[#This Row],[Batch by Type (p)]]), 0)</f>
        <v>0</v>
      </c>
    </row>
    <row r="250" spans="1:36" ht="15" customHeight="1" x14ac:dyDescent="0.35">
      <c r="A250" s="98" t="s">
        <v>461</v>
      </c>
      <c r="B250" s="98">
        <v>45</v>
      </c>
      <c r="C250" s="98">
        <v>2</v>
      </c>
      <c r="D250" s="93">
        <v>1</v>
      </c>
      <c r="E250" s="93"/>
      <c r="F250" s="93"/>
      <c r="G250" s="97"/>
      <c r="H250" s="97"/>
      <c r="I250" s="93"/>
      <c r="J250" s="93"/>
      <c r="K250" s="93"/>
      <c r="L250" s="93"/>
      <c r="M250" s="93"/>
      <c r="N250" s="98">
        <v>0</v>
      </c>
      <c r="O250" s="98">
        <v>0</v>
      </c>
      <c r="P250" s="99">
        <f>SUM(SamplingData[[#This Row],[Winning Candidate]:[Under Votes]])</f>
        <v>48</v>
      </c>
      <c r="Q250" s="100">
        <f>IF(AND(SamplingData[[#This Row],[Total]]&lt;&gt; 0, NOT(ISBLANK(SamplingData[[#This Row],[Losing Candidate]]))),(SamplingData[[#This Row],[Total]]+SamplingData[[#This Row],[Winning Candidate]]-SamplingData[[#This Row],[Losing Candidate]])/(SamplingData[[#Totals],[Winning Candidate]]-SamplingData[[#Totals],[Losing Candidate]]), 0)</f>
        <v>5.7518488085456041E-3</v>
      </c>
      <c r="R250" s="100">
        <f>IF(AND(SamplingData[[#This Row],[Total]]&lt;&gt; 0, NOT(ISBLANK(SamplingData[[#This Row],[Candidate 3]]))),(SamplingData[[#This Row],[Total]]+SamplingData[[#This Row],[Winning Candidate]]-SamplingData[[#This Row],[Candidate 3]])/(SamplingData[[#Totals],[Winning Candidate]]-SamplingData[[#Totals],[Candidate 3]]), 0)</f>
        <v>5.1930458342741024E-3</v>
      </c>
      <c r="S250" s="100">
        <f>IF(AND(SamplingData[[#This Row],[Total]]&lt;&gt; 0, NOT(ISBLANK(SamplingData[[#This Row],[Candidate 4]]))),(SamplingData[[#This Row],[Total]]+SamplingData[[#This Row],[Winning Candidate]]-SamplingData[[#This Row],[Candidate 4]])/(SamplingData[[#Totals],[Winning Candidate]]-SamplingData[[#Totals],[Candidate 4]]), 0)</f>
        <v>0</v>
      </c>
      <c r="T250" s="100">
        <f>IF(AND(SamplingData[[#This Row],[Total]]&lt;&gt; 0, NOT(ISBLANK(SamplingData[[#This Row],[Candidate 5]]))),(SamplingData[[#This Row],[Total]]+SamplingData[[#This Row],[Winning Candidate]]-SamplingData[[#This Row],[Candidate 5]])/(SamplingData[[#Totals],[Winning Candidate]]-SamplingData[[#Totals],[Candidate 5]]), 0)</f>
        <v>0</v>
      </c>
      <c r="U250" s="100">
        <f>IF(AND(SamplingData[[#This Row],[Total]]&lt;&gt; 0, NOT(ISBLANK(SamplingData[[#This Row],[Candidate 6]]))),(SamplingData[[#This Row],[Total]]+SamplingData[[#This Row],[Losing Candidate]]-SamplingData[[#This Row],[Candidate 6]])/(SamplingData[[#Totals],[Winning Candidate]]-SamplingData[[#Totals],[Candidate 6]]), 0)</f>
        <v>0</v>
      </c>
      <c r="V250" s="100">
        <f>IF(AND(SamplingData[[#This Row],[Total]]&lt;&gt; 0, NOT(ISBLANK(SamplingData[[#This Row],[Candidate 7]]))),(SamplingData[[#This Row],[Total]]+SamplingData[[#This Row],[Winning Candidate]]-SamplingData[[#This Row],[Candidate 7]])/(SamplingData[[#Totals],[Winning Candidate]]-SamplingData[[#Totals],[Candidate 7]]), 0)</f>
        <v>0</v>
      </c>
      <c r="W250" s="100">
        <f>IF(AND(SamplingData[[#This Row],[Total]]&lt;&gt; 0, NOT(ISBLANK(SamplingData[[#This Row],[Candidate 8]]))),(SamplingData[[#This Row],[Total]]+SamplingData[[#This Row],[Winning Candidate]]-SamplingData[[#This Row],[Candidate 8]])/(SamplingData[[#Totals],[Winning Candidate]]-SamplingData[[#Totals],[Candidate 8]]), 0)</f>
        <v>0</v>
      </c>
      <c r="X2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0" s="100">
        <f>MAX(SamplingData[[#This Row],[Error Bound (up) - Max. possible relative overstatement - Losing Candidate]:[Error Bound (up) - Max. possible relative overstatement - Candidate 12]])</f>
        <v>5.7518488085456041E-3</v>
      </c>
      <c r="AC250" s="100">
        <f>IF(SamplingData[[#This Row],[Max Error Bound (up)]] = 0,0,SamplingData[[#This Row],[Max Error Bound (up)]]/SamplingData[[#Totals],[Max Error Bound (up)]])</f>
        <v>2.3344197654347741E-3</v>
      </c>
      <c r="AD250" s="104">
        <f>SUM($AC$5:AC250)</f>
        <v>0.46060827881863636</v>
      </c>
      <c r="AE250" s="100" t="str" cm="1">
        <f t="array" ref="AE250">IF(SamplingData[[#This Row],[up/U Selection Probability]] = 0, "Zero", TEXT(SamplingData[[#This Row],[Lower Range]], REPT("0",LEN('General Info'!$B$42))) &amp; " - " &amp; TEXT(SamplingData[[#This Row],[Upper Range]], REPT("0",LEN('General Info'!$B$42))))</f>
        <v>45827 - 46060</v>
      </c>
      <c r="AF250" s="100">
        <f>SamplingData[[#This Row],[Upper Range]]-SamplingData[[#This Row],[Span]]</f>
        <v>45827.38590532016</v>
      </c>
      <c r="AG250" s="100">
        <f>IF(ISNUMBER('General Info'!$B$42), ((SamplingData[[#This Row],[up/U Selection Probability]]) * 'General Info'!$B$44) - 1, 0)</f>
        <v>232.44197654347741</v>
      </c>
      <c r="AH250" s="100">
        <f>IF(ISNUMBER('General Info'!$B$42), (SamplingData[[#This Row],[Running (cumulative) sum]] * ('General Info'!$B$42 -'General Info'!$B$43 + 1)) + 'General Info'!$B$43 - 1, 0)</f>
        <v>46059.827881863639</v>
      </c>
      <c r="AI250" s="100" t="str">
        <f>IF(ISERROR(MATCH(SamplingData[[#This Row],[Batch by Type (p)]],SelectedPrecincts[Batch Name], 0)), "", INDEX(SelectedPrecincts[Draw], MATCH(SamplingData[[#This Row],[Batch by Type (p)]],SelectedPrecincts[Batch Name], 0)))</f>
        <v/>
      </c>
      <c r="AJ250" s="101">
        <f>IF(COUNTIF(SelectedPrecincts[Batch Name],SamplingData[[#This Row],[Batch by Type (p)]]) &lt;&gt; 0, COUNTIF(SelectedPrecincts[Batch Name],SamplingData[[#This Row],[Batch by Type (p)]]), 0)</f>
        <v>0</v>
      </c>
    </row>
    <row r="251" spans="1:36" ht="15" customHeight="1" x14ac:dyDescent="0.35">
      <c r="A251" s="98" t="s">
        <v>462</v>
      </c>
      <c r="B251" s="98">
        <v>72</v>
      </c>
      <c r="C251" s="98">
        <v>1</v>
      </c>
      <c r="D251" s="93">
        <v>0</v>
      </c>
      <c r="E251" s="93"/>
      <c r="F251" s="93"/>
      <c r="G251" s="97"/>
      <c r="H251" s="97"/>
      <c r="I251" s="93"/>
      <c r="J251" s="93"/>
      <c r="K251" s="93"/>
      <c r="L251" s="93"/>
      <c r="M251" s="93"/>
      <c r="N251" s="98">
        <v>0</v>
      </c>
      <c r="O251" s="98">
        <v>0</v>
      </c>
      <c r="P251" s="99">
        <f>SUM(SamplingData[[#This Row],[Winning Candidate]:[Under Votes]])</f>
        <v>73</v>
      </c>
      <c r="Q251" s="100">
        <f>IF(AND(SamplingData[[#This Row],[Total]]&lt;&gt; 0, NOT(ISBLANK(SamplingData[[#This Row],[Losing Candidate]]))),(SamplingData[[#This Row],[Total]]+SamplingData[[#This Row],[Winning Candidate]]-SamplingData[[#This Row],[Losing Candidate]])/(SamplingData[[#Totals],[Winning Candidate]]-SamplingData[[#Totals],[Losing Candidate]]), 0)</f>
        <v>9.1018266860501858E-3</v>
      </c>
      <c r="R251" s="100">
        <f>IF(AND(SamplingData[[#This Row],[Total]]&lt;&gt; 0, NOT(ISBLANK(SamplingData[[#This Row],[Candidate 3]]))),(SamplingData[[#This Row],[Total]]+SamplingData[[#This Row],[Winning Candidate]]-SamplingData[[#This Row],[Candidate 3]])/(SamplingData[[#Totals],[Winning Candidate]]-SamplingData[[#Totals],[Candidate 3]]), 0)</f>
        <v>8.1846918040189651E-3</v>
      </c>
      <c r="S251" s="100">
        <f>IF(AND(SamplingData[[#This Row],[Total]]&lt;&gt; 0, NOT(ISBLANK(SamplingData[[#This Row],[Candidate 4]]))),(SamplingData[[#This Row],[Total]]+SamplingData[[#This Row],[Winning Candidate]]-SamplingData[[#This Row],[Candidate 4]])/(SamplingData[[#Totals],[Winning Candidate]]-SamplingData[[#Totals],[Candidate 4]]), 0)</f>
        <v>0</v>
      </c>
      <c r="T251" s="100">
        <f>IF(AND(SamplingData[[#This Row],[Total]]&lt;&gt; 0, NOT(ISBLANK(SamplingData[[#This Row],[Candidate 5]]))),(SamplingData[[#This Row],[Total]]+SamplingData[[#This Row],[Winning Candidate]]-SamplingData[[#This Row],[Candidate 5]])/(SamplingData[[#Totals],[Winning Candidate]]-SamplingData[[#Totals],[Candidate 5]]), 0)</f>
        <v>0</v>
      </c>
      <c r="U251" s="100">
        <f>IF(AND(SamplingData[[#This Row],[Total]]&lt;&gt; 0, NOT(ISBLANK(SamplingData[[#This Row],[Candidate 6]]))),(SamplingData[[#This Row],[Total]]+SamplingData[[#This Row],[Losing Candidate]]-SamplingData[[#This Row],[Candidate 6]])/(SamplingData[[#Totals],[Winning Candidate]]-SamplingData[[#Totals],[Candidate 6]]), 0)</f>
        <v>0</v>
      </c>
      <c r="V251" s="100">
        <f>IF(AND(SamplingData[[#This Row],[Total]]&lt;&gt; 0, NOT(ISBLANK(SamplingData[[#This Row],[Candidate 7]]))),(SamplingData[[#This Row],[Total]]+SamplingData[[#This Row],[Winning Candidate]]-SamplingData[[#This Row],[Candidate 7]])/(SamplingData[[#Totals],[Winning Candidate]]-SamplingData[[#Totals],[Candidate 7]]), 0)</f>
        <v>0</v>
      </c>
      <c r="W251" s="100">
        <f>IF(AND(SamplingData[[#This Row],[Total]]&lt;&gt; 0, NOT(ISBLANK(SamplingData[[#This Row],[Candidate 8]]))),(SamplingData[[#This Row],[Total]]+SamplingData[[#This Row],[Winning Candidate]]-SamplingData[[#This Row],[Candidate 8]])/(SamplingData[[#Totals],[Winning Candidate]]-SamplingData[[#Totals],[Candidate 8]]), 0)</f>
        <v>0</v>
      </c>
      <c r="X2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1" s="100">
        <f>MAX(SamplingData[[#This Row],[Error Bound (up) - Max. possible relative overstatement - Losing Candidate]:[Error Bound (up) - Max. possible relative overstatement - Candidate 12]])</f>
        <v>9.1018266860501858E-3</v>
      </c>
      <c r="AC251" s="100">
        <f>IF(SamplingData[[#This Row],[Max Error Bound (up)]] = 0,0,SamplingData[[#This Row],[Max Error Bound (up)]]/SamplingData[[#Totals],[Max Error Bound (up)]])</f>
        <v>3.6940268815671149E-3</v>
      </c>
      <c r="AD251" s="104">
        <f>SUM($AC$5:AC251)</f>
        <v>0.46430230570020348</v>
      </c>
      <c r="AE251" s="100" t="str" cm="1">
        <f t="array" ref="AE251">IF(SamplingData[[#This Row],[up/U Selection Probability]] = 0, "Zero", TEXT(SamplingData[[#This Row],[Lower Range]], REPT("0",LEN('General Info'!$B$42))) &amp; " - " &amp; TEXT(SamplingData[[#This Row],[Upper Range]], REPT("0",LEN('General Info'!$B$42))))</f>
        <v>46061 - 46429</v>
      </c>
      <c r="AF251" s="100">
        <f>SamplingData[[#This Row],[Upper Range]]-SamplingData[[#This Row],[Span]]</f>
        <v>46060.827881863639</v>
      </c>
      <c r="AG251" s="100">
        <f>IF(ISNUMBER('General Info'!$B$42), ((SamplingData[[#This Row],[up/U Selection Probability]]) * 'General Info'!$B$44) - 1, 0)</f>
        <v>368.40268815671146</v>
      </c>
      <c r="AH251" s="100">
        <f>IF(ISNUMBER('General Info'!$B$42), (SamplingData[[#This Row],[Running (cumulative) sum]] * ('General Info'!$B$42 -'General Info'!$B$43 + 1)) + 'General Info'!$B$43 - 1, 0)</f>
        <v>46429.230570020351</v>
      </c>
      <c r="AI251" s="100" t="str">
        <f>IF(ISERROR(MATCH(SamplingData[[#This Row],[Batch by Type (p)]],SelectedPrecincts[Batch Name], 0)), "", INDEX(SelectedPrecincts[Draw], MATCH(SamplingData[[#This Row],[Batch by Type (p)]],SelectedPrecincts[Batch Name], 0)))</f>
        <v/>
      </c>
      <c r="AJ251" s="101">
        <f>IF(COUNTIF(SelectedPrecincts[Batch Name],SamplingData[[#This Row],[Batch by Type (p)]]) &lt;&gt; 0, COUNTIF(SelectedPrecincts[Batch Name],SamplingData[[#This Row],[Batch by Type (p)]]), 0)</f>
        <v>0</v>
      </c>
    </row>
    <row r="252" spans="1:36" ht="15" customHeight="1" x14ac:dyDescent="0.35">
      <c r="A252" s="98" t="s">
        <v>463</v>
      </c>
      <c r="B252" s="98">
        <v>85</v>
      </c>
      <c r="C252" s="98">
        <v>5</v>
      </c>
      <c r="D252" s="93">
        <v>1</v>
      </c>
      <c r="E252" s="93"/>
      <c r="F252" s="93"/>
      <c r="G252" s="97"/>
      <c r="H252" s="97"/>
      <c r="I252" s="93"/>
      <c r="J252" s="93"/>
      <c r="K252" s="93"/>
      <c r="L252" s="93"/>
      <c r="M252" s="93"/>
      <c r="N252" s="98">
        <v>0</v>
      </c>
      <c r="O252" s="98">
        <v>0</v>
      </c>
      <c r="P252" s="99">
        <f>SUM(SamplingData[[#This Row],[Winning Candidate]:[Under Votes]])</f>
        <v>91</v>
      </c>
      <c r="Q252" s="100">
        <f>IF(AND(SamplingData[[#This Row],[Total]]&lt;&gt; 0, NOT(ISBLANK(SamplingData[[#This Row],[Losing Candidate]]))),(SamplingData[[#This Row],[Total]]+SamplingData[[#This Row],[Winning Candidate]]-SamplingData[[#This Row],[Losing Candidate]])/(SamplingData[[#Totals],[Winning Candidate]]-SamplingData[[#Totals],[Losing Candidate]]), 0)</f>
        <v>1.0808419189684596E-2</v>
      </c>
      <c r="R252" s="100">
        <f>IF(AND(SamplingData[[#This Row],[Total]]&lt;&gt; 0, NOT(ISBLANK(SamplingData[[#This Row],[Candidate 3]]))),(SamplingData[[#This Row],[Total]]+SamplingData[[#This Row],[Winning Candidate]]-SamplingData[[#This Row],[Candidate 3]])/(SamplingData[[#Totals],[Winning Candidate]]-SamplingData[[#Totals],[Candidate 3]]), 0)</f>
        <v>9.8780763151953034E-3</v>
      </c>
      <c r="S252" s="100">
        <f>IF(AND(SamplingData[[#This Row],[Total]]&lt;&gt; 0, NOT(ISBLANK(SamplingData[[#This Row],[Candidate 4]]))),(SamplingData[[#This Row],[Total]]+SamplingData[[#This Row],[Winning Candidate]]-SamplingData[[#This Row],[Candidate 4]])/(SamplingData[[#Totals],[Winning Candidate]]-SamplingData[[#Totals],[Candidate 4]]), 0)</f>
        <v>0</v>
      </c>
      <c r="T252" s="100">
        <f>IF(AND(SamplingData[[#This Row],[Total]]&lt;&gt; 0, NOT(ISBLANK(SamplingData[[#This Row],[Candidate 5]]))),(SamplingData[[#This Row],[Total]]+SamplingData[[#This Row],[Winning Candidate]]-SamplingData[[#This Row],[Candidate 5]])/(SamplingData[[#Totals],[Winning Candidate]]-SamplingData[[#Totals],[Candidate 5]]), 0)</f>
        <v>0</v>
      </c>
      <c r="U252" s="100">
        <f>IF(AND(SamplingData[[#This Row],[Total]]&lt;&gt; 0, NOT(ISBLANK(SamplingData[[#This Row],[Candidate 6]]))),(SamplingData[[#This Row],[Total]]+SamplingData[[#This Row],[Losing Candidate]]-SamplingData[[#This Row],[Candidate 6]])/(SamplingData[[#Totals],[Winning Candidate]]-SamplingData[[#Totals],[Candidate 6]]), 0)</f>
        <v>0</v>
      </c>
      <c r="V252" s="100">
        <f>IF(AND(SamplingData[[#This Row],[Total]]&lt;&gt; 0, NOT(ISBLANK(SamplingData[[#This Row],[Candidate 7]]))),(SamplingData[[#This Row],[Total]]+SamplingData[[#This Row],[Winning Candidate]]-SamplingData[[#This Row],[Candidate 7]])/(SamplingData[[#Totals],[Winning Candidate]]-SamplingData[[#Totals],[Candidate 7]]), 0)</f>
        <v>0</v>
      </c>
      <c r="W252" s="100">
        <f>IF(AND(SamplingData[[#This Row],[Total]]&lt;&gt; 0, NOT(ISBLANK(SamplingData[[#This Row],[Candidate 8]]))),(SamplingData[[#This Row],[Total]]+SamplingData[[#This Row],[Winning Candidate]]-SamplingData[[#This Row],[Candidate 8]])/(SamplingData[[#Totals],[Winning Candidate]]-SamplingData[[#Totals],[Candidate 8]]), 0)</f>
        <v>0</v>
      </c>
      <c r="X2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2" s="100">
        <f>MAX(SamplingData[[#This Row],[Error Bound (up) - Max. possible relative overstatement - Losing Candidate]:[Error Bound (up) - Max. possible relative overstatement - Candidate 12]])</f>
        <v>1.0808419189684596E-2</v>
      </c>
      <c r="AC252" s="100">
        <f>IF(SamplingData[[#This Row],[Max Error Bound (up)]] = 0,0,SamplingData[[#This Row],[Max Error Bound (up)]]/SamplingData[[#Totals],[Max Error Bound (up)]])</f>
        <v>4.3866569218609488E-3</v>
      </c>
      <c r="AD252" s="104">
        <f>SUM($AC$5:AC252)</f>
        <v>0.46868896262206444</v>
      </c>
      <c r="AE252" s="100" t="str" cm="1">
        <f t="array" ref="AE252">IF(SamplingData[[#This Row],[up/U Selection Probability]] = 0, "Zero", TEXT(SamplingData[[#This Row],[Lower Range]], REPT("0",LEN('General Info'!$B$42))) &amp; " - " &amp; TEXT(SamplingData[[#This Row],[Upper Range]], REPT("0",LEN('General Info'!$B$42))))</f>
        <v>46430 - 46868</v>
      </c>
      <c r="AF252" s="100">
        <f>SamplingData[[#This Row],[Upper Range]]-SamplingData[[#This Row],[Span]]</f>
        <v>46430.230570020351</v>
      </c>
      <c r="AG252" s="100">
        <f>IF(ISNUMBER('General Info'!$B$42), ((SamplingData[[#This Row],[up/U Selection Probability]]) * 'General Info'!$B$44) - 1, 0)</f>
        <v>437.66569218609487</v>
      </c>
      <c r="AH252" s="100">
        <f>IF(ISNUMBER('General Info'!$B$42), (SamplingData[[#This Row],[Running (cumulative) sum]] * ('General Info'!$B$42 -'General Info'!$B$43 + 1)) + 'General Info'!$B$43 - 1, 0)</f>
        <v>46867.896262206443</v>
      </c>
      <c r="AI252" s="100" t="str">
        <f>IF(ISERROR(MATCH(SamplingData[[#This Row],[Batch by Type (p)]],SelectedPrecincts[Batch Name], 0)), "", INDEX(SelectedPrecincts[Draw], MATCH(SamplingData[[#This Row],[Batch by Type (p)]],SelectedPrecincts[Batch Name], 0)))</f>
        <v/>
      </c>
      <c r="AJ252" s="101">
        <f>IF(COUNTIF(SelectedPrecincts[Batch Name],SamplingData[[#This Row],[Batch by Type (p)]]) &lt;&gt; 0, COUNTIF(SelectedPrecincts[Batch Name],SamplingData[[#This Row],[Batch by Type (p)]]), 0)</f>
        <v>0</v>
      </c>
    </row>
    <row r="253" spans="1:36" ht="15" customHeight="1" x14ac:dyDescent="0.35">
      <c r="A253" s="98" t="s">
        <v>464</v>
      </c>
      <c r="B253" s="98">
        <v>77</v>
      </c>
      <c r="C253" s="98">
        <v>4</v>
      </c>
      <c r="D253" s="93">
        <v>3</v>
      </c>
      <c r="E253" s="93"/>
      <c r="F253" s="93"/>
      <c r="G253" s="97"/>
      <c r="H253" s="97"/>
      <c r="I253" s="93"/>
      <c r="J253" s="93"/>
      <c r="K253" s="93"/>
      <c r="L253" s="93"/>
      <c r="M253" s="93"/>
      <c r="N253" s="98">
        <v>0</v>
      </c>
      <c r="O253" s="98">
        <v>2</v>
      </c>
      <c r="P253" s="99">
        <f>SUM(SamplingData[[#This Row],[Winning Candidate]:[Under Votes]])</f>
        <v>86</v>
      </c>
      <c r="Q253" s="100">
        <f>IF(AND(SamplingData[[#This Row],[Total]]&lt;&gt; 0, NOT(ISBLANK(SamplingData[[#This Row],[Losing Candidate]]))),(SamplingData[[#This Row],[Total]]+SamplingData[[#This Row],[Winning Candidate]]-SamplingData[[#This Row],[Losing Candidate]])/(SamplingData[[#Totals],[Winning Candidate]]-SamplingData[[#Totals],[Losing Candidate]]), 0)</f>
        <v>1.0049933632513747E-2</v>
      </c>
      <c r="R253" s="100">
        <f>IF(AND(SamplingData[[#This Row],[Total]]&lt;&gt; 0, NOT(ISBLANK(SamplingData[[#This Row],[Candidate 3]]))),(SamplingData[[#This Row],[Total]]+SamplingData[[#This Row],[Winning Candidate]]-SamplingData[[#This Row],[Candidate 3]])/(SamplingData[[#Totals],[Winning Candidate]]-SamplingData[[#Totals],[Candidate 3]]), 0)</f>
        <v>9.0313840596071351E-3</v>
      </c>
      <c r="S253" s="100">
        <f>IF(AND(SamplingData[[#This Row],[Total]]&lt;&gt; 0, NOT(ISBLANK(SamplingData[[#This Row],[Candidate 4]]))),(SamplingData[[#This Row],[Total]]+SamplingData[[#This Row],[Winning Candidate]]-SamplingData[[#This Row],[Candidate 4]])/(SamplingData[[#Totals],[Winning Candidate]]-SamplingData[[#Totals],[Candidate 4]]), 0)</f>
        <v>0</v>
      </c>
      <c r="T253" s="100">
        <f>IF(AND(SamplingData[[#This Row],[Total]]&lt;&gt; 0, NOT(ISBLANK(SamplingData[[#This Row],[Candidate 5]]))),(SamplingData[[#This Row],[Total]]+SamplingData[[#This Row],[Winning Candidate]]-SamplingData[[#This Row],[Candidate 5]])/(SamplingData[[#Totals],[Winning Candidate]]-SamplingData[[#Totals],[Candidate 5]]), 0)</f>
        <v>0</v>
      </c>
      <c r="U253" s="100">
        <f>IF(AND(SamplingData[[#This Row],[Total]]&lt;&gt; 0, NOT(ISBLANK(SamplingData[[#This Row],[Candidate 6]]))),(SamplingData[[#This Row],[Total]]+SamplingData[[#This Row],[Losing Candidate]]-SamplingData[[#This Row],[Candidate 6]])/(SamplingData[[#Totals],[Winning Candidate]]-SamplingData[[#Totals],[Candidate 6]]), 0)</f>
        <v>0</v>
      </c>
      <c r="V253" s="100">
        <f>IF(AND(SamplingData[[#This Row],[Total]]&lt;&gt; 0, NOT(ISBLANK(SamplingData[[#This Row],[Candidate 7]]))),(SamplingData[[#This Row],[Total]]+SamplingData[[#This Row],[Winning Candidate]]-SamplingData[[#This Row],[Candidate 7]])/(SamplingData[[#Totals],[Winning Candidate]]-SamplingData[[#Totals],[Candidate 7]]), 0)</f>
        <v>0</v>
      </c>
      <c r="W253" s="100">
        <f>IF(AND(SamplingData[[#This Row],[Total]]&lt;&gt; 0, NOT(ISBLANK(SamplingData[[#This Row],[Candidate 8]]))),(SamplingData[[#This Row],[Total]]+SamplingData[[#This Row],[Winning Candidate]]-SamplingData[[#This Row],[Candidate 8]])/(SamplingData[[#Totals],[Winning Candidate]]-SamplingData[[#Totals],[Candidate 8]]), 0)</f>
        <v>0</v>
      </c>
      <c r="X2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3" s="100">
        <f>MAX(SamplingData[[#This Row],[Error Bound (up) - Max. possible relative overstatement - Losing Candidate]:[Error Bound (up) - Max. possible relative overstatement - Candidate 12]])</f>
        <v>1.0049933632513747E-2</v>
      </c>
      <c r="AC253" s="100">
        <f>IF(SamplingData[[#This Row],[Max Error Bound (up)]] = 0,0,SamplingData[[#This Row],[Max Error Bound (up)]]/SamplingData[[#Totals],[Max Error Bound (up)]])</f>
        <v>4.0788213483970229E-3</v>
      </c>
      <c r="AD253" s="104">
        <f>SUM($AC$5:AC253)</f>
        <v>0.47276778397046149</v>
      </c>
      <c r="AE253" s="100" t="str" cm="1">
        <f t="array" ref="AE253">IF(SamplingData[[#This Row],[up/U Selection Probability]] = 0, "Zero", TEXT(SamplingData[[#This Row],[Lower Range]], REPT("0",LEN('General Info'!$B$42))) &amp; " - " &amp; TEXT(SamplingData[[#This Row],[Upper Range]], REPT("0",LEN('General Info'!$B$42))))</f>
        <v>46869 - 47276</v>
      </c>
      <c r="AF253" s="100">
        <f>SamplingData[[#This Row],[Upper Range]]-SamplingData[[#This Row],[Span]]</f>
        <v>46868.896262206443</v>
      </c>
      <c r="AG253" s="100">
        <f>IF(ISNUMBER('General Info'!$B$42), ((SamplingData[[#This Row],[up/U Selection Probability]]) * 'General Info'!$B$44) - 1, 0)</f>
        <v>406.8821348397023</v>
      </c>
      <c r="AH253" s="100">
        <f>IF(ISNUMBER('General Info'!$B$42), (SamplingData[[#This Row],[Running (cumulative) sum]] * ('General Info'!$B$42 -'General Info'!$B$43 + 1)) + 'General Info'!$B$43 - 1, 0)</f>
        <v>47275.778397046146</v>
      </c>
      <c r="AI253" s="100" t="str">
        <f>IF(ISERROR(MATCH(SamplingData[[#This Row],[Batch by Type (p)]],SelectedPrecincts[Batch Name], 0)), "", INDEX(SelectedPrecincts[Draw], MATCH(SamplingData[[#This Row],[Batch by Type (p)]],SelectedPrecincts[Batch Name], 0)))</f>
        <v/>
      </c>
      <c r="AJ253" s="101">
        <f>IF(COUNTIF(SelectedPrecincts[Batch Name],SamplingData[[#This Row],[Batch by Type (p)]]) &lt;&gt; 0, COUNTIF(SelectedPrecincts[Batch Name],SamplingData[[#This Row],[Batch by Type (p)]]), 0)</f>
        <v>0</v>
      </c>
    </row>
    <row r="254" spans="1:36" ht="15" customHeight="1" x14ac:dyDescent="0.35">
      <c r="A254" s="98" t="s">
        <v>465</v>
      </c>
      <c r="B254" s="98">
        <v>110</v>
      </c>
      <c r="C254" s="98">
        <v>4</v>
      </c>
      <c r="D254" s="93">
        <v>2</v>
      </c>
      <c r="E254" s="93"/>
      <c r="F254" s="93"/>
      <c r="G254" s="97"/>
      <c r="H254" s="97"/>
      <c r="I254" s="93"/>
      <c r="J254" s="93"/>
      <c r="K254" s="93"/>
      <c r="L254" s="93"/>
      <c r="M254" s="93"/>
      <c r="N254" s="98">
        <v>0</v>
      </c>
      <c r="O254" s="98">
        <v>0</v>
      </c>
      <c r="P254" s="99">
        <f>SUM(SamplingData[[#This Row],[Winning Candidate]:[Under Votes]])</f>
        <v>116</v>
      </c>
      <c r="Q254" s="100">
        <f>IF(AND(SamplingData[[#This Row],[Total]]&lt;&gt; 0, NOT(ISBLANK(SamplingData[[#This Row],[Losing Candidate]]))),(SamplingData[[#This Row],[Total]]+SamplingData[[#This Row],[Winning Candidate]]-SamplingData[[#This Row],[Losing Candidate]])/(SamplingData[[#Totals],[Winning Candidate]]-SamplingData[[#Totals],[Losing Candidate]]), 0)</f>
        <v>1.4031982807660704E-2</v>
      </c>
      <c r="R254" s="100">
        <f>IF(AND(SamplingData[[#This Row],[Total]]&lt;&gt; 0, NOT(ISBLANK(SamplingData[[#This Row],[Candidate 3]]))),(SamplingData[[#This Row],[Total]]+SamplingData[[#This Row],[Winning Candidate]]-SamplingData[[#This Row],[Candidate 3]])/(SamplingData[[#Totals],[Winning Candidate]]-SamplingData[[#Totals],[Candidate 3]]), 0)</f>
        <v>1.2643937683449989E-2</v>
      </c>
      <c r="S254" s="100">
        <f>IF(AND(SamplingData[[#This Row],[Total]]&lt;&gt; 0, NOT(ISBLANK(SamplingData[[#This Row],[Candidate 4]]))),(SamplingData[[#This Row],[Total]]+SamplingData[[#This Row],[Winning Candidate]]-SamplingData[[#This Row],[Candidate 4]])/(SamplingData[[#Totals],[Winning Candidate]]-SamplingData[[#Totals],[Candidate 4]]), 0)</f>
        <v>0</v>
      </c>
      <c r="T254" s="100">
        <f>IF(AND(SamplingData[[#This Row],[Total]]&lt;&gt; 0, NOT(ISBLANK(SamplingData[[#This Row],[Candidate 5]]))),(SamplingData[[#This Row],[Total]]+SamplingData[[#This Row],[Winning Candidate]]-SamplingData[[#This Row],[Candidate 5]])/(SamplingData[[#Totals],[Winning Candidate]]-SamplingData[[#Totals],[Candidate 5]]), 0)</f>
        <v>0</v>
      </c>
      <c r="U254" s="100">
        <f>IF(AND(SamplingData[[#This Row],[Total]]&lt;&gt; 0, NOT(ISBLANK(SamplingData[[#This Row],[Candidate 6]]))),(SamplingData[[#This Row],[Total]]+SamplingData[[#This Row],[Losing Candidate]]-SamplingData[[#This Row],[Candidate 6]])/(SamplingData[[#Totals],[Winning Candidate]]-SamplingData[[#Totals],[Candidate 6]]), 0)</f>
        <v>0</v>
      </c>
      <c r="V254" s="100">
        <f>IF(AND(SamplingData[[#This Row],[Total]]&lt;&gt; 0, NOT(ISBLANK(SamplingData[[#This Row],[Candidate 7]]))),(SamplingData[[#This Row],[Total]]+SamplingData[[#This Row],[Winning Candidate]]-SamplingData[[#This Row],[Candidate 7]])/(SamplingData[[#Totals],[Winning Candidate]]-SamplingData[[#Totals],[Candidate 7]]), 0)</f>
        <v>0</v>
      </c>
      <c r="W254" s="100">
        <f>IF(AND(SamplingData[[#This Row],[Total]]&lt;&gt; 0, NOT(ISBLANK(SamplingData[[#This Row],[Candidate 8]]))),(SamplingData[[#This Row],[Total]]+SamplingData[[#This Row],[Winning Candidate]]-SamplingData[[#This Row],[Candidate 8]])/(SamplingData[[#Totals],[Winning Candidate]]-SamplingData[[#Totals],[Candidate 8]]), 0)</f>
        <v>0</v>
      </c>
      <c r="X2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4" s="100">
        <f>MAX(SamplingData[[#This Row],[Error Bound (up) - Max. possible relative overstatement - Losing Candidate]:[Error Bound (up) - Max. possible relative overstatement - Candidate 12]])</f>
        <v>1.4031982807660704E-2</v>
      </c>
      <c r="AC254" s="100">
        <f>IF(SamplingData[[#This Row],[Max Error Bound (up)]] = 0,0,SamplingData[[#This Row],[Max Error Bound (up)]]/SamplingData[[#Totals],[Max Error Bound (up)]])</f>
        <v>5.6949581090826361E-3</v>
      </c>
      <c r="AD254" s="104">
        <f>SUM($AC$5:AC254)</f>
        <v>0.47846274207954415</v>
      </c>
      <c r="AE254" s="100" t="str" cm="1">
        <f t="array" ref="AE254">IF(SamplingData[[#This Row],[up/U Selection Probability]] = 0, "Zero", TEXT(SamplingData[[#This Row],[Lower Range]], REPT("0",LEN('General Info'!$B$42))) &amp; " - " &amp; TEXT(SamplingData[[#This Row],[Upper Range]], REPT("0",LEN('General Info'!$B$42))))</f>
        <v>47277 - 47845</v>
      </c>
      <c r="AF254" s="100">
        <f>SamplingData[[#This Row],[Upper Range]]-SamplingData[[#This Row],[Span]]</f>
        <v>47276.778397046146</v>
      </c>
      <c r="AG254" s="100">
        <f>IF(ISNUMBER('General Info'!$B$42), ((SamplingData[[#This Row],[up/U Selection Probability]]) * 'General Info'!$B$44) - 1, 0)</f>
        <v>568.49581090826359</v>
      </c>
      <c r="AH254" s="100">
        <f>IF(ISNUMBER('General Info'!$B$42), (SamplingData[[#This Row],[Running (cumulative) sum]] * ('General Info'!$B$42 -'General Info'!$B$43 + 1)) + 'General Info'!$B$43 - 1, 0)</f>
        <v>47845.274207954411</v>
      </c>
      <c r="AI254" s="100" t="str">
        <f>IF(ISERROR(MATCH(SamplingData[[#This Row],[Batch by Type (p)]],SelectedPrecincts[Batch Name], 0)), "", INDEX(SelectedPrecincts[Draw], MATCH(SamplingData[[#This Row],[Batch by Type (p)]],SelectedPrecincts[Batch Name], 0)))</f>
        <v/>
      </c>
      <c r="AJ254" s="101">
        <f>IF(COUNTIF(SelectedPrecincts[Batch Name],SamplingData[[#This Row],[Batch by Type (p)]]) &lt;&gt; 0, COUNTIF(SelectedPrecincts[Batch Name],SamplingData[[#This Row],[Batch by Type (p)]]), 0)</f>
        <v>0</v>
      </c>
    </row>
    <row r="255" spans="1:36" ht="15" customHeight="1" x14ac:dyDescent="0.35">
      <c r="A255" s="98" t="s">
        <v>466</v>
      </c>
      <c r="B255" s="98">
        <v>32</v>
      </c>
      <c r="C255" s="98">
        <v>0</v>
      </c>
      <c r="D255" s="93">
        <v>1</v>
      </c>
      <c r="E255" s="93"/>
      <c r="F255" s="93"/>
      <c r="G255" s="97"/>
      <c r="H255" s="97"/>
      <c r="I255" s="93"/>
      <c r="J255" s="93"/>
      <c r="K255" s="93"/>
      <c r="L255" s="93"/>
      <c r="M255" s="93"/>
      <c r="N255" s="98">
        <v>0</v>
      </c>
      <c r="O255" s="98">
        <v>0</v>
      </c>
      <c r="P255" s="99">
        <f>SUM(SamplingData[[#This Row],[Winning Candidate]:[Under Votes]])</f>
        <v>33</v>
      </c>
      <c r="Q255" s="100">
        <f>IF(AND(SamplingData[[#This Row],[Total]]&lt;&gt; 0, NOT(ISBLANK(SamplingData[[#This Row],[Losing Candidate]]))),(SamplingData[[#This Row],[Total]]+SamplingData[[#This Row],[Winning Candidate]]-SamplingData[[#This Row],[Losing Candidate]])/(SamplingData[[#Totals],[Winning Candidate]]-SamplingData[[#Totals],[Losing Candidate]]), 0)</f>
        <v>4.1084634346754316E-3</v>
      </c>
      <c r="R255" s="100">
        <f>IF(AND(SamplingData[[#This Row],[Total]]&lt;&gt; 0, NOT(ISBLANK(SamplingData[[#This Row],[Candidate 3]]))),(SamplingData[[#This Row],[Total]]+SamplingData[[#This Row],[Winning Candidate]]-SamplingData[[#This Row],[Candidate 3]])/(SamplingData[[#Totals],[Winning Candidate]]-SamplingData[[#Totals],[Candidate 3]]), 0)</f>
        <v>3.6125536238428538E-3</v>
      </c>
      <c r="S255" s="100">
        <f>IF(AND(SamplingData[[#This Row],[Total]]&lt;&gt; 0, NOT(ISBLANK(SamplingData[[#This Row],[Candidate 4]]))),(SamplingData[[#This Row],[Total]]+SamplingData[[#This Row],[Winning Candidate]]-SamplingData[[#This Row],[Candidate 4]])/(SamplingData[[#Totals],[Winning Candidate]]-SamplingData[[#Totals],[Candidate 4]]), 0)</f>
        <v>0</v>
      </c>
      <c r="T255" s="100">
        <f>IF(AND(SamplingData[[#This Row],[Total]]&lt;&gt; 0, NOT(ISBLANK(SamplingData[[#This Row],[Candidate 5]]))),(SamplingData[[#This Row],[Total]]+SamplingData[[#This Row],[Winning Candidate]]-SamplingData[[#This Row],[Candidate 5]])/(SamplingData[[#Totals],[Winning Candidate]]-SamplingData[[#Totals],[Candidate 5]]), 0)</f>
        <v>0</v>
      </c>
      <c r="U255" s="100">
        <f>IF(AND(SamplingData[[#This Row],[Total]]&lt;&gt; 0, NOT(ISBLANK(SamplingData[[#This Row],[Candidate 6]]))),(SamplingData[[#This Row],[Total]]+SamplingData[[#This Row],[Losing Candidate]]-SamplingData[[#This Row],[Candidate 6]])/(SamplingData[[#Totals],[Winning Candidate]]-SamplingData[[#Totals],[Candidate 6]]), 0)</f>
        <v>0</v>
      </c>
      <c r="V255" s="100">
        <f>IF(AND(SamplingData[[#This Row],[Total]]&lt;&gt; 0, NOT(ISBLANK(SamplingData[[#This Row],[Candidate 7]]))),(SamplingData[[#This Row],[Total]]+SamplingData[[#This Row],[Winning Candidate]]-SamplingData[[#This Row],[Candidate 7]])/(SamplingData[[#Totals],[Winning Candidate]]-SamplingData[[#Totals],[Candidate 7]]), 0)</f>
        <v>0</v>
      </c>
      <c r="W255" s="100">
        <f>IF(AND(SamplingData[[#This Row],[Total]]&lt;&gt; 0, NOT(ISBLANK(SamplingData[[#This Row],[Candidate 8]]))),(SamplingData[[#This Row],[Total]]+SamplingData[[#This Row],[Winning Candidate]]-SamplingData[[#This Row],[Candidate 8]])/(SamplingData[[#Totals],[Winning Candidate]]-SamplingData[[#Totals],[Candidate 8]]), 0)</f>
        <v>0</v>
      </c>
      <c r="X2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5" s="100">
        <f>MAX(SamplingData[[#This Row],[Error Bound (up) - Max. possible relative overstatement - Losing Candidate]:[Error Bound (up) - Max. possible relative overstatement - Candidate 12]])</f>
        <v>4.1084634346754316E-3</v>
      </c>
      <c r="AC255" s="100">
        <f>IF(SamplingData[[#This Row],[Max Error Bound (up)]] = 0,0,SamplingData[[#This Row],[Max Error Bound (up)]]/SamplingData[[#Totals],[Max Error Bound (up)]])</f>
        <v>1.6674426895962673E-3</v>
      </c>
      <c r="AD255" s="104">
        <f>SUM($AC$5:AC255)</f>
        <v>0.48013018476914043</v>
      </c>
      <c r="AE255" s="100" t="str" cm="1">
        <f t="array" ref="AE255">IF(SamplingData[[#This Row],[up/U Selection Probability]] = 0, "Zero", TEXT(SamplingData[[#This Row],[Lower Range]], REPT("0",LEN('General Info'!$B$42))) &amp; " - " &amp; TEXT(SamplingData[[#This Row],[Upper Range]], REPT("0",LEN('General Info'!$B$42))))</f>
        <v>47846 - 48012</v>
      </c>
      <c r="AF255" s="100">
        <f>SamplingData[[#This Row],[Upper Range]]-SamplingData[[#This Row],[Span]]</f>
        <v>47846.274207954419</v>
      </c>
      <c r="AG255" s="100">
        <f>IF(ISNUMBER('General Info'!$B$42), ((SamplingData[[#This Row],[up/U Selection Probability]]) * 'General Info'!$B$44) - 1, 0)</f>
        <v>165.74426895962674</v>
      </c>
      <c r="AH255" s="100">
        <f>IF(ISNUMBER('General Info'!$B$42), (SamplingData[[#This Row],[Running (cumulative) sum]] * ('General Info'!$B$42 -'General Info'!$B$43 + 1)) + 'General Info'!$B$43 - 1, 0)</f>
        <v>48012.018476914047</v>
      </c>
      <c r="AI255" s="100" t="str">
        <f>IF(ISERROR(MATCH(SamplingData[[#This Row],[Batch by Type (p)]],SelectedPrecincts[Batch Name], 0)), "", INDEX(SelectedPrecincts[Draw], MATCH(SamplingData[[#This Row],[Batch by Type (p)]],SelectedPrecincts[Batch Name], 0)))</f>
        <v/>
      </c>
      <c r="AJ255" s="101">
        <f>IF(COUNTIF(SelectedPrecincts[Batch Name],SamplingData[[#This Row],[Batch by Type (p)]]) &lt;&gt; 0, COUNTIF(SelectedPrecincts[Batch Name],SamplingData[[#This Row],[Batch by Type (p)]]), 0)</f>
        <v>0</v>
      </c>
    </row>
    <row r="256" spans="1:36" ht="15" customHeight="1" x14ac:dyDescent="0.35">
      <c r="A256" s="98" t="s">
        <v>467</v>
      </c>
      <c r="B256" s="98">
        <v>90</v>
      </c>
      <c r="C256" s="98">
        <v>5</v>
      </c>
      <c r="D256" s="93">
        <v>2</v>
      </c>
      <c r="E256" s="93"/>
      <c r="F256" s="93"/>
      <c r="G256" s="97"/>
      <c r="H256" s="97"/>
      <c r="I256" s="93"/>
      <c r="J256" s="93"/>
      <c r="K256" s="93"/>
      <c r="L256" s="93"/>
      <c r="M256" s="93"/>
      <c r="N256" s="98">
        <v>0</v>
      </c>
      <c r="O256" s="98">
        <v>0</v>
      </c>
      <c r="P256" s="99">
        <f>SUM(SamplingData[[#This Row],[Winning Candidate]:[Under Votes]])</f>
        <v>97</v>
      </c>
      <c r="Q256" s="100">
        <f>IF(AND(SamplingData[[#This Row],[Total]]&lt;&gt; 0, NOT(ISBLANK(SamplingData[[#This Row],[Losing Candidate]]))),(SamplingData[[#This Row],[Total]]+SamplingData[[#This Row],[Winning Candidate]]-SamplingData[[#This Row],[Losing Candidate]])/(SamplingData[[#Totals],[Winning Candidate]]-SamplingData[[#Totals],[Losing Candidate]]), 0)</f>
        <v>1.1503697617091208E-2</v>
      </c>
      <c r="R256" s="100">
        <f>IF(AND(SamplingData[[#This Row],[Total]]&lt;&gt; 0, NOT(ISBLANK(SamplingData[[#This Row],[Candidate 3]]))),(SamplingData[[#This Row],[Total]]+SamplingData[[#This Row],[Winning Candidate]]-SamplingData[[#This Row],[Candidate 3]])/(SamplingData[[#Totals],[Winning Candidate]]-SamplingData[[#Totals],[Candidate 3]]), 0)</f>
        <v>1.0442537818920749E-2</v>
      </c>
      <c r="S256" s="100">
        <f>IF(AND(SamplingData[[#This Row],[Total]]&lt;&gt; 0, NOT(ISBLANK(SamplingData[[#This Row],[Candidate 4]]))),(SamplingData[[#This Row],[Total]]+SamplingData[[#This Row],[Winning Candidate]]-SamplingData[[#This Row],[Candidate 4]])/(SamplingData[[#Totals],[Winning Candidate]]-SamplingData[[#Totals],[Candidate 4]]), 0)</f>
        <v>0</v>
      </c>
      <c r="T256" s="100">
        <f>IF(AND(SamplingData[[#This Row],[Total]]&lt;&gt; 0, NOT(ISBLANK(SamplingData[[#This Row],[Candidate 5]]))),(SamplingData[[#This Row],[Total]]+SamplingData[[#This Row],[Winning Candidate]]-SamplingData[[#This Row],[Candidate 5]])/(SamplingData[[#Totals],[Winning Candidate]]-SamplingData[[#Totals],[Candidate 5]]), 0)</f>
        <v>0</v>
      </c>
      <c r="U256" s="100">
        <f>IF(AND(SamplingData[[#This Row],[Total]]&lt;&gt; 0, NOT(ISBLANK(SamplingData[[#This Row],[Candidate 6]]))),(SamplingData[[#This Row],[Total]]+SamplingData[[#This Row],[Losing Candidate]]-SamplingData[[#This Row],[Candidate 6]])/(SamplingData[[#Totals],[Winning Candidate]]-SamplingData[[#Totals],[Candidate 6]]), 0)</f>
        <v>0</v>
      </c>
      <c r="V256" s="100">
        <f>IF(AND(SamplingData[[#This Row],[Total]]&lt;&gt; 0, NOT(ISBLANK(SamplingData[[#This Row],[Candidate 7]]))),(SamplingData[[#This Row],[Total]]+SamplingData[[#This Row],[Winning Candidate]]-SamplingData[[#This Row],[Candidate 7]])/(SamplingData[[#Totals],[Winning Candidate]]-SamplingData[[#Totals],[Candidate 7]]), 0)</f>
        <v>0</v>
      </c>
      <c r="W256" s="100">
        <f>IF(AND(SamplingData[[#This Row],[Total]]&lt;&gt; 0, NOT(ISBLANK(SamplingData[[#This Row],[Candidate 8]]))),(SamplingData[[#This Row],[Total]]+SamplingData[[#This Row],[Winning Candidate]]-SamplingData[[#This Row],[Candidate 8]])/(SamplingData[[#Totals],[Winning Candidate]]-SamplingData[[#Totals],[Candidate 8]]), 0)</f>
        <v>0</v>
      </c>
      <c r="X2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6" s="100">
        <f>MAX(SamplingData[[#This Row],[Error Bound (up) - Max. possible relative overstatement - Losing Candidate]:[Error Bound (up) - Max. possible relative overstatement - Candidate 12]])</f>
        <v>1.1503697617091208E-2</v>
      </c>
      <c r="AC256" s="100">
        <f>IF(SamplingData[[#This Row],[Max Error Bound (up)]] = 0,0,SamplingData[[#This Row],[Max Error Bound (up)]]/SamplingData[[#Totals],[Max Error Bound (up)]])</f>
        <v>4.6688395308695481E-3</v>
      </c>
      <c r="AD256" s="104">
        <f>SUM($AC$5:AC256)</f>
        <v>0.48479902430000998</v>
      </c>
      <c r="AE256" s="100" t="str" cm="1">
        <f t="array" ref="AE256">IF(SamplingData[[#This Row],[up/U Selection Probability]] = 0, "Zero", TEXT(SamplingData[[#This Row],[Lower Range]], REPT("0",LEN('General Info'!$B$42))) &amp; " - " &amp; TEXT(SamplingData[[#This Row],[Upper Range]], REPT("0",LEN('General Info'!$B$42))))</f>
        <v>48013 - 48479</v>
      </c>
      <c r="AF256" s="100">
        <f>SamplingData[[#This Row],[Upper Range]]-SamplingData[[#This Row],[Span]]</f>
        <v>48013.018476914047</v>
      </c>
      <c r="AG256" s="100">
        <f>IF(ISNUMBER('General Info'!$B$42), ((SamplingData[[#This Row],[up/U Selection Probability]]) * 'General Info'!$B$44) - 1, 0)</f>
        <v>465.88395308695482</v>
      </c>
      <c r="AH256" s="100">
        <f>IF(ISNUMBER('General Info'!$B$42), (SamplingData[[#This Row],[Running (cumulative) sum]] * ('General Info'!$B$42 -'General Info'!$B$43 + 1)) + 'General Info'!$B$43 - 1, 0)</f>
        <v>48478.902430000999</v>
      </c>
      <c r="AI256" s="100" t="str">
        <f>IF(ISERROR(MATCH(SamplingData[[#This Row],[Batch by Type (p)]],SelectedPrecincts[Batch Name], 0)), "", INDEX(SelectedPrecincts[Draw], MATCH(SamplingData[[#This Row],[Batch by Type (p)]],SelectedPrecincts[Batch Name], 0)))</f>
        <v/>
      </c>
      <c r="AJ256" s="101">
        <f>IF(COUNTIF(SelectedPrecincts[Batch Name],SamplingData[[#This Row],[Batch by Type (p)]]) &lt;&gt; 0, COUNTIF(SelectedPrecincts[Batch Name],SamplingData[[#This Row],[Batch by Type (p)]]), 0)</f>
        <v>0</v>
      </c>
    </row>
    <row r="257" spans="1:36" ht="15" customHeight="1" x14ac:dyDescent="0.35">
      <c r="A257" s="98" t="s">
        <v>468</v>
      </c>
      <c r="B257" s="98">
        <v>81</v>
      </c>
      <c r="C257" s="98">
        <v>7</v>
      </c>
      <c r="D257" s="93">
        <v>2</v>
      </c>
      <c r="E257" s="93"/>
      <c r="F257" s="93"/>
      <c r="G257" s="97"/>
      <c r="H257" s="97"/>
      <c r="I257" s="93"/>
      <c r="J257" s="93"/>
      <c r="K257" s="93"/>
      <c r="L257" s="93"/>
      <c r="M257" s="93"/>
      <c r="N257" s="98">
        <v>0</v>
      </c>
      <c r="O257" s="98">
        <v>1</v>
      </c>
      <c r="P257" s="99">
        <f>SUM(SamplingData[[#This Row],[Winning Candidate]:[Under Votes]])</f>
        <v>91</v>
      </c>
      <c r="Q257" s="100">
        <f>IF(AND(SamplingData[[#This Row],[Total]]&lt;&gt; 0, NOT(ISBLANK(SamplingData[[#This Row],[Losing Candidate]]))),(SamplingData[[#This Row],[Total]]+SamplingData[[#This Row],[Winning Candidate]]-SamplingData[[#This Row],[Losing Candidate]])/(SamplingData[[#Totals],[Winning Candidate]]-SamplingData[[#Totals],[Losing Candidate]]), 0)</f>
        <v>1.0429176411099172E-2</v>
      </c>
      <c r="R257" s="100">
        <f>IF(AND(SamplingData[[#This Row],[Total]]&lt;&gt; 0, NOT(ISBLANK(SamplingData[[#This Row],[Candidate 3]]))),(SamplingData[[#This Row],[Total]]+SamplingData[[#This Row],[Winning Candidate]]-SamplingData[[#This Row],[Candidate 3]])/(SamplingData[[#Totals],[Winning Candidate]]-SamplingData[[#Totals],[Candidate 3]]), 0)</f>
        <v>9.5958455633325807E-3</v>
      </c>
      <c r="S257" s="100">
        <f>IF(AND(SamplingData[[#This Row],[Total]]&lt;&gt; 0, NOT(ISBLANK(SamplingData[[#This Row],[Candidate 4]]))),(SamplingData[[#This Row],[Total]]+SamplingData[[#This Row],[Winning Candidate]]-SamplingData[[#This Row],[Candidate 4]])/(SamplingData[[#Totals],[Winning Candidate]]-SamplingData[[#Totals],[Candidate 4]]), 0)</f>
        <v>0</v>
      </c>
      <c r="T257" s="100">
        <f>IF(AND(SamplingData[[#This Row],[Total]]&lt;&gt; 0, NOT(ISBLANK(SamplingData[[#This Row],[Candidate 5]]))),(SamplingData[[#This Row],[Total]]+SamplingData[[#This Row],[Winning Candidate]]-SamplingData[[#This Row],[Candidate 5]])/(SamplingData[[#Totals],[Winning Candidate]]-SamplingData[[#Totals],[Candidate 5]]), 0)</f>
        <v>0</v>
      </c>
      <c r="U257" s="100">
        <f>IF(AND(SamplingData[[#This Row],[Total]]&lt;&gt; 0, NOT(ISBLANK(SamplingData[[#This Row],[Candidate 6]]))),(SamplingData[[#This Row],[Total]]+SamplingData[[#This Row],[Losing Candidate]]-SamplingData[[#This Row],[Candidate 6]])/(SamplingData[[#Totals],[Winning Candidate]]-SamplingData[[#Totals],[Candidate 6]]), 0)</f>
        <v>0</v>
      </c>
      <c r="V257" s="100">
        <f>IF(AND(SamplingData[[#This Row],[Total]]&lt;&gt; 0, NOT(ISBLANK(SamplingData[[#This Row],[Candidate 7]]))),(SamplingData[[#This Row],[Total]]+SamplingData[[#This Row],[Winning Candidate]]-SamplingData[[#This Row],[Candidate 7]])/(SamplingData[[#Totals],[Winning Candidate]]-SamplingData[[#Totals],[Candidate 7]]), 0)</f>
        <v>0</v>
      </c>
      <c r="W257" s="100">
        <f>IF(AND(SamplingData[[#This Row],[Total]]&lt;&gt; 0, NOT(ISBLANK(SamplingData[[#This Row],[Candidate 8]]))),(SamplingData[[#This Row],[Total]]+SamplingData[[#This Row],[Winning Candidate]]-SamplingData[[#This Row],[Candidate 8]])/(SamplingData[[#Totals],[Winning Candidate]]-SamplingData[[#Totals],[Candidate 8]]), 0)</f>
        <v>0</v>
      </c>
      <c r="X2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7" s="100">
        <f>MAX(SamplingData[[#This Row],[Error Bound (up) - Max. possible relative overstatement - Losing Candidate]:[Error Bound (up) - Max. possible relative overstatement - Candidate 12]])</f>
        <v>1.0429176411099172E-2</v>
      </c>
      <c r="AC257" s="100">
        <f>IF(SamplingData[[#This Row],[Max Error Bound (up)]] = 0,0,SamplingData[[#This Row],[Max Error Bound (up)]]/SamplingData[[#Totals],[Max Error Bound (up)]])</f>
        <v>4.2327391351289862E-3</v>
      </c>
      <c r="AD257" s="104">
        <f>SUM($AC$5:AC257)</f>
        <v>0.48903176343513899</v>
      </c>
      <c r="AE257" s="100" t="str" cm="1">
        <f t="array" ref="AE257">IF(SamplingData[[#This Row],[up/U Selection Probability]] = 0, "Zero", TEXT(SamplingData[[#This Row],[Lower Range]], REPT("0",LEN('General Info'!$B$42))) &amp; " - " &amp; TEXT(SamplingData[[#This Row],[Upper Range]], REPT("0",LEN('General Info'!$B$42))))</f>
        <v>48480 - 48902</v>
      </c>
      <c r="AF257" s="100">
        <f>SamplingData[[#This Row],[Upper Range]]-SamplingData[[#This Row],[Span]]</f>
        <v>48479.902430000999</v>
      </c>
      <c r="AG257" s="100">
        <f>IF(ISNUMBER('General Info'!$B$42), ((SamplingData[[#This Row],[up/U Selection Probability]]) * 'General Info'!$B$44) - 1, 0)</f>
        <v>422.27391351289862</v>
      </c>
      <c r="AH257" s="100">
        <f>IF(ISNUMBER('General Info'!$B$42), (SamplingData[[#This Row],[Running (cumulative) sum]] * ('General Info'!$B$42 -'General Info'!$B$43 + 1)) + 'General Info'!$B$43 - 1, 0)</f>
        <v>48902.1763435139</v>
      </c>
      <c r="AI257" s="100" t="str">
        <f>IF(ISERROR(MATCH(SamplingData[[#This Row],[Batch by Type (p)]],SelectedPrecincts[Batch Name], 0)), "", INDEX(SelectedPrecincts[Draw], MATCH(SamplingData[[#This Row],[Batch by Type (p)]],SelectedPrecincts[Batch Name], 0)))</f>
        <v/>
      </c>
      <c r="AJ257" s="101">
        <f>IF(COUNTIF(SelectedPrecincts[Batch Name],SamplingData[[#This Row],[Batch by Type (p)]]) &lt;&gt; 0, COUNTIF(SelectedPrecincts[Batch Name],SamplingData[[#This Row],[Batch by Type (p)]]), 0)</f>
        <v>0</v>
      </c>
    </row>
    <row r="258" spans="1:36" ht="15" customHeight="1" x14ac:dyDescent="0.35">
      <c r="A258" s="98" t="s">
        <v>469</v>
      </c>
      <c r="B258" s="98">
        <v>148</v>
      </c>
      <c r="C258" s="98">
        <v>12</v>
      </c>
      <c r="D258" s="93">
        <v>7</v>
      </c>
      <c r="E258" s="93"/>
      <c r="F258" s="93"/>
      <c r="G258" s="97"/>
      <c r="H258" s="97"/>
      <c r="I258" s="93"/>
      <c r="J258" s="93"/>
      <c r="K258" s="93"/>
      <c r="L258" s="93"/>
      <c r="M258" s="93"/>
      <c r="N258" s="98">
        <v>1</v>
      </c>
      <c r="O258" s="98">
        <v>0</v>
      </c>
      <c r="P258" s="99">
        <f>SUM(SamplingData[[#This Row],[Winning Candidate]:[Under Votes]])</f>
        <v>168</v>
      </c>
      <c r="Q258" s="100">
        <f>IF(AND(SamplingData[[#This Row],[Total]]&lt;&gt; 0, NOT(ISBLANK(SamplingData[[#This Row],[Losing Candidate]]))),(SamplingData[[#This Row],[Total]]+SamplingData[[#This Row],[Winning Candidate]]-SamplingData[[#This Row],[Losing Candidate]])/(SamplingData[[#Totals],[Winning Candidate]]-SamplingData[[#Totals],[Losing Candidate]]), 0)</f>
        <v>1.9214967448328173E-2</v>
      </c>
      <c r="R258" s="100">
        <f>IF(AND(SamplingData[[#This Row],[Total]]&lt;&gt; 0, NOT(ISBLANK(SamplingData[[#This Row],[Candidate 3]]))),(SamplingData[[#This Row],[Total]]+SamplingData[[#This Row],[Winning Candidate]]-SamplingData[[#This Row],[Candidate 3]])/(SamplingData[[#Totals],[Winning Candidate]]-SamplingData[[#Totals],[Candidate 3]]), 0)</f>
        <v>1.7441860465116279E-2</v>
      </c>
      <c r="S258" s="100">
        <f>IF(AND(SamplingData[[#This Row],[Total]]&lt;&gt; 0, NOT(ISBLANK(SamplingData[[#This Row],[Candidate 4]]))),(SamplingData[[#This Row],[Total]]+SamplingData[[#This Row],[Winning Candidate]]-SamplingData[[#This Row],[Candidate 4]])/(SamplingData[[#Totals],[Winning Candidate]]-SamplingData[[#Totals],[Candidate 4]]), 0)</f>
        <v>0</v>
      </c>
      <c r="T258" s="100">
        <f>IF(AND(SamplingData[[#This Row],[Total]]&lt;&gt; 0, NOT(ISBLANK(SamplingData[[#This Row],[Candidate 5]]))),(SamplingData[[#This Row],[Total]]+SamplingData[[#This Row],[Winning Candidate]]-SamplingData[[#This Row],[Candidate 5]])/(SamplingData[[#Totals],[Winning Candidate]]-SamplingData[[#Totals],[Candidate 5]]), 0)</f>
        <v>0</v>
      </c>
      <c r="U258" s="100">
        <f>IF(AND(SamplingData[[#This Row],[Total]]&lt;&gt; 0, NOT(ISBLANK(SamplingData[[#This Row],[Candidate 6]]))),(SamplingData[[#This Row],[Total]]+SamplingData[[#This Row],[Losing Candidate]]-SamplingData[[#This Row],[Candidate 6]])/(SamplingData[[#Totals],[Winning Candidate]]-SamplingData[[#Totals],[Candidate 6]]), 0)</f>
        <v>0</v>
      </c>
      <c r="V258" s="100">
        <f>IF(AND(SamplingData[[#This Row],[Total]]&lt;&gt; 0, NOT(ISBLANK(SamplingData[[#This Row],[Candidate 7]]))),(SamplingData[[#This Row],[Total]]+SamplingData[[#This Row],[Winning Candidate]]-SamplingData[[#This Row],[Candidate 7]])/(SamplingData[[#Totals],[Winning Candidate]]-SamplingData[[#Totals],[Candidate 7]]), 0)</f>
        <v>0</v>
      </c>
      <c r="W258" s="100">
        <f>IF(AND(SamplingData[[#This Row],[Total]]&lt;&gt; 0, NOT(ISBLANK(SamplingData[[#This Row],[Candidate 8]]))),(SamplingData[[#This Row],[Total]]+SamplingData[[#This Row],[Winning Candidate]]-SamplingData[[#This Row],[Candidate 8]])/(SamplingData[[#Totals],[Winning Candidate]]-SamplingData[[#Totals],[Candidate 8]]), 0)</f>
        <v>0</v>
      </c>
      <c r="X2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8" s="100">
        <f>MAX(SamplingData[[#This Row],[Error Bound (up) - Max. possible relative overstatement - Losing Candidate]:[Error Bound (up) - Max. possible relative overstatement - Candidate 12]])</f>
        <v>1.9214967448328173E-2</v>
      </c>
      <c r="AC258" s="100">
        <f>IF(SamplingData[[#This Row],[Max Error Bound (up)]] = 0,0,SamplingData[[#This Row],[Max Error Bound (up)]]/SamplingData[[#Totals],[Max Error Bound (up)]])</f>
        <v>7.798501194419466E-3</v>
      </c>
      <c r="AD258" s="104">
        <f>SUM($AC$5:AC258)</f>
        <v>0.49683026462955848</v>
      </c>
      <c r="AE258" s="100" t="str" cm="1">
        <f t="array" ref="AE258">IF(SamplingData[[#This Row],[up/U Selection Probability]] = 0, "Zero", TEXT(SamplingData[[#This Row],[Lower Range]], REPT("0",LEN('General Info'!$B$42))) &amp; " - " &amp; TEXT(SamplingData[[#This Row],[Upper Range]], REPT("0",LEN('General Info'!$B$42))))</f>
        <v>48903 - 49682</v>
      </c>
      <c r="AF258" s="100">
        <f>SamplingData[[#This Row],[Upper Range]]-SamplingData[[#This Row],[Span]]</f>
        <v>48903.176343513907</v>
      </c>
      <c r="AG258" s="100">
        <f>IF(ISNUMBER('General Info'!$B$42), ((SamplingData[[#This Row],[up/U Selection Probability]]) * 'General Info'!$B$44) - 1, 0)</f>
        <v>778.85011944194662</v>
      </c>
      <c r="AH258" s="100">
        <f>IF(ISNUMBER('General Info'!$B$42), (SamplingData[[#This Row],[Running (cumulative) sum]] * ('General Info'!$B$42 -'General Info'!$B$43 + 1)) + 'General Info'!$B$43 - 1, 0)</f>
        <v>49682.026462955851</v>
      </c>
      <c r="AI258" s="100" t="str">
        <f>IF(ISERROR(MATCH(SamplingData[[#This Row],[Batch by Type (p)]],SelectedPrecincts[Batch Name], 0)), "", INDEX(SelectedPrecincts[Draw], MATCH(SamplingData[[#This Row],[Batch by Type (p)]],SelectedPrecincts[Batch Name], 0)))</f>
        <v/>
      </c>
      <c r="AJ258" s="101">
        <f>IF(COUNTIF(SelectedPrecincts[Batch Name],SamplingData[[#This Row],[Batch by Type (p)]]) &lt;&gt; 0, COUNTIF(SelectedPrecincts[Batch Name],SamplingData[[#This Row],[Batch by Type (p)]]), 0)</f>
        <v>0</v>
      </c>
    </row>
    <row r="259" spans="1:36" ht="15" customHeight="1" x14ac:dyDescent="0.35">
      <c r="A259" s="98" t="s">
        <v>470</v>
      </c>
      <c r="B259" s="98">
        <v>150</v>
      </c>
      <c r="C259" s="98">
        <v>52</v>
      </c>
      <c r="D259" s="93">
        <v>24</v>
      </c>
      <c r="E259" s="93"/>
      <c r="F259" s="93"/>
      <c r="G259" s="97"/>
      <c r="H259" s="97"/>
      <c r="I259" s="93"/>
      <c r="J259" s="93"/>
      <c r="K259" s="93"/>
      <c r="L259" s="93"/>
      <c r="M259" s="93"/>
      <c r="N259" s="98">
        <v>1</v>
      </c>
      <c r="O259" s="98">
        <v>1</v>
      </c>
      <c r="P259" s="99">
        <f>SUM(SamplingData[[#This Row],[Winning Candidate]:[Under Votes]])</f>
        <v>228</v>
      </c>
      <c r="Q259" s="100">
        <f>IF(AND(SamplingData[[#This Row],[Total]]&lt;&gt; 0, NOT(ISBLANK(SamplingData[[#This Row],[Losing Candidate]]))),(SamplingData[[#This Row],[Total]]+SamplingData[[#This Row],[Winning Candidate]]-SamplingData[[#This Row],[Losing Candidate]])/(SamplingData[[#Totals],[Winning Candidate]]-SamplingData[[#Totals],[Losing Candidate]]), 0)</f>
        <v>2.0605524303141394E-2</v>
      </c>
      <c r="R259" s="100">
        <f>IF(AND(SamplingData[[#This Row],[Total]]&lt;&gt; 0, NOT(ISBLANK(SamplingData[[#This Row],[Candidate 3]]))),(SamplingData[[#This Row],[Total]]+SamplingData[[#This Row],[Winning Candidate]]-SamplingData[[#This Row],[Candidate 3]])/(SamplingData[[#Totals],[Winning Candidate]]-SamplingData[[#Totals],[Candidate 3]]), 0)</f>
        <v>1.9981937231880787E-2</v>
      </c>
      <c r="S259" s="100">
        <f>IF(AND(SamplingData[[#This Row],[Total]]&lt;&gt; 0, NOT(ISBLANK(SamplingData[[#This Row],[Candidate 4]]))),(SamplingData[[#This Row],[Total]]+SamplingData[[#This Row],[Winning Candidate]]-SamplingData[[#This Row],[Candidate 4]])/(SamplingData[[#Totals],[Winning Candidate]]-SamplingData[[#Totals],[Candidate 4]]), 0)</f>
        <v>0</v>
      </c>
      <c r="T259" s="100">
        <f>IF(AND(SamplingData[[#This Row],[Total]]&lt;&gt; 0, NOT(ISBLANK(SamplingData[[#This Row],[Candidate 5]]))),(SamplingData[[#This Row],[Total]]+SamplingData[[#This Row],[Winning Candidate]]-SamplingData[[#This Row],[Candidate 5]])/(SamplingData[[#Totals],[Winning Candidate]]-SamplingData[[#Totals],[Candidate 5]]), 0)</f>
        <v>0</v>
      </c>
      <c r="U259" s="100">
        <f>IF(AND(SamplingData[[#This Row],[Total]]&lt;&gt; 0, NOT(ISBLANK(SamplingData[[#This Row],[Candidate 6]]))),(SamplingData[[#This Row],[Total]]+SamplingData[[#This Row],[Losing Candidate]]-SamplingData[[#This Row],[Candidate 6]])/(SamplingData[[#Totals],[Winning Candidate]]-SamplingData[[#Totals],[Candidate 6]]), 0)</f>
        <v>0</v>
      </c>
      <c r="V259" s="100">
        <f>IF(AND(SamplingData[[#This Row],[Total]]&lt;&gt; 0, NOT(ISBLANK(SamplingData[[#This Row],[Candidate 7]]))),(SamplingData[[#This Row],[Total]]+SamplingData[[#This Row],[Winning Candidate]]-SamplingData[[#This Row],[Candidate 7]])/(SamplingData[[#Totals],[Winning Candidate]]-SamplingData[[#Totals],[Candidate 7]]), 0)</f>
        <v>0</v>
      </c>
      <c r="W259" s="100">
        <f>IF(AND(SamplingData[[#This Row],[Total]]&lt;&gt; 0, NOT(ISBLANK(SamplingData[[#This Row],[Candidate 8]]))),(SamplingData[[#This Row],[Total]]+SamplingData[[#This Row],[Winning Candidate]]-SamplingData[[#This Row],[Candidate 8]])/(SamplingData[[#Totals],[Winning Candidate]]-SamplingData[[#Totals],[Candidate 8]]), 0)</f>
        <v>0</v>
      </c>
      <c r="X2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9" s="100">
        <f>MAX(SamplingData[[#This Row],[Error Bound (up) - Max. possible relative overstatement - Losing Candidate]:[Error Bound (up) - Max. possible relative overstatement - Candidate 12]])</f>
        <v>2.0605524303141394E-2</v>
      </c>
      <c r="AC259" s="100">
        <f>IF(SamplingData[[#This Row],[Max Error Bound (up)]] = 0,0,SamplingData[[#This Row],[Max Error Bound (up)]]/SamplingData[[#Totals],[Max Error Bound (up)]])</f>
        <v>8.362866412436663E-3</v>
      </c>
      <c r="AD259" s="104">
        <f>SUM($AC$5:AC259)</f>
        <v>0.50519313104199515</v>
      </c>
      <c r="AE259" s="100" t="str" cm="1">
        <f t="array" ref="AE259">IF(SamplingData[[#This Row],[up/U Selection Probability]] = 0, "Zero", TEXT(SamplingData[[#This Row],[Lower Range]], REPT("0",LEN('General Info'!$B$42))) &amp; " - " &amp; TEXT(SamplingData[[#This Row],[Upper Range]], REPT("0",LEN('General Info'!$B$42))))</f>
        <v>49683 - 50518</v>
      </c>
      <c r="AF259" s="100">
        <f>SamplingData[[#This Row],[Upper Range]]-SamplingData[[#This Row],[Span]]</f>
        <v>49683.026462955851</v>
      </c>
      <c r="AG259" s="100">
        <f>IF(ISNUMBER('General Info'!$B$42), ((SamplingData[[#This Row],[up/U Selection Probability]]) * 'General Info'!$B$44) - 1, 0)</f>
        <v>835.28664124366628</v>
      </c>
      <c r="AH259" s="100">
        <f>IF(ISNUMBER('General Info'!$B$42), (SamplingData[[#This Row],[Running (cumulative) sum]] * ('General Info'!$B$42 -'General Info'!$B$43 + 1)) + 'General Info'!$B$43 - 1, 0)</f>
        <v>50518.313104199515</v>
      </c>
      <c r="AI259" s="100" t="str">
        <f>IF(ISERROR(MATCH(SamplingData[[#This Row],[Batch by Type (p)]],SelectedPrecincts[Batch Name], 0)), "", INDEX(SelectedPrecincts[Draw], MATCH(SamplingData[[#This Row],[Batch by Type (p)]],SelectedPrecincts[Batch Name], 0)))</f>
        <v/>
      </c>
      <c r="AJ259" s="101">
        <f>IF(COUNTIF(SelectedPrecincts[Batch Name],SamplingData[[#This Row],[Batch by Type (p)]]) &lt;&gt; 0, COUNTIF(SelectedPrecincts[Batch Name],SamplingData[[#This Row],[Batch by Type (p)]]), 0)</f>
        <v>0</v>
      </c>
    </row>
    <row r="260" spans="1:36" ht="15" customHeight="1" x14ac:dyDescent="0.35">
      <c r="A260" s="98" t="s">
        <v>471</v>
      </c>
      <c r="B260" s="98">
        <v>107</v>
      </c>
      <c r="C260" s="98">
        <v>2</v>
      </c>
      <c r="D260" s="93">
        <v>0</v>
      </c>
      <c r="E260" s="93"/>
      <c r="F260" s="93"/>
      <c r="G260" s="97"/>
      <c r="H260" s="97"/>
      <c r="I260" s="93"/>
      <c r="J260" s="93"/>
      <c r="K260" s="93"/>
      <c r="L260" s="93"/>
      <c r="M260" s="93"/>
      <c r="N260" s="98">
        <v>0</v>
      </c>
      <c r="O260" s="98">
        <v>0</v>
      </c>
      <c r="P260" s="99">
        <f>SUM(SamplingData[[#This Row],[Winning Candidate]:[Under Votes]])</f>
        <v>109</v>
      </c>
      <c r="Q260" s="100">
        <f>IF(AND(SamplingData[[#This Row],[Total]]&lt;&gt; 0, NOT(ISBLANK(SamplingData[[#This Row],[Losing Candidate]]))),(SamplingData[[#This Row],[Total]]+SamplingData[[#This Row],[Winning Candidate]]-SamplingData[[#This Row],[Losing Candidate]])/(SamplingData[[#Totals],[Winning Candidate]]-SamplingData[[#Totals],[Losing Candidate]]), 0)</f>
        <v>1.3526325769546805E-2</v>
      </c>
      <c r="R260" s="100">
        <f>IF(AND(SamplingData[[#This Row],[Total]]&lt;&gt; 0, NOT(ISBLANK(SamplingData[[#This Row],[Candidate 3]]))),(SamplingData[[#This Row],[Total]]+SamplingData[[#This Row],[Winning Candidate]]-SamplingData[[#This Row],[Candidate 3]])/(SamplingData[[#Totals],[Winning Candidate]]-SamplingData[[#Totals],[Candidate 3]]), 0)</f>
        <v>1.2192368480469631E-2</v>
      </c>
      <c r="S260" s="100">
        <f>IF(AND(SamplingData[[#This Row],[Total]]&lt;&gt; 0, NOT(ISBLANK(SamplingData[[#This Row],[Candidate 4]]))),(SamplingData[[#This Row],[Total]]+SamplingData[[#This Row],[Winning Candidate]]-SamplingData[[#This Row],[Candidate 4]])/(SamplingData[[#Totals],[Winning Candidate]]-SamplingData[[#Totals],[Candidate 4]]), 0)</f>
        <v>0</v>
      </c>
      <c r="T260" s="100">
        <f>IF(AND(SamplingData[[#This Row],[Total]]&lt;&gt; 0, NOT(ISBLANK(SamplingData[[#This Row],[Candidate 5]]))),(SamplingData[[#This Row],[Total]]+SamplingData[[#This Row],[Winning Candidate]]-SamplingData[[#This Row],[Candidate 5]])/(SamplingData[[#Totals],[Winning Candidate]]-SamplingData[[#Totals],[Candidate 5]]), 0)</f>
        <v>0</v>
      </c>
      <c r="U260" s="100">
        <f>IF(AND(SamplingData[[#This Row],[Total]]&lt;&gt; 0, NOT(ISBLANK(SamplingData[[#This Row],[Candidate 6]]))),(SamplingData[[#This Row],[Total]]+SamplingData[[#This Row],[Losing Candidate]]-SamplingData[[#This Row],[Candidate 6]])/(SamplingData[[#Totals],[Winning Candidate]]-SamplingData[[#Totals],[Candidate 6]]), 0)</f>
        <v>0</v>
      </c>
      <c r="V260" s="100">
        <f>IF(AND(SamplingData[[#This Row],[Total]]&lt;&gt; 0, NOT(ISBLANK(SamplingData[[#This Row],[Candidate 7]]))),(SamplingData[[#This Row],[Total]]+SamplingData[[#This Row],[Winning Candidate]]-SamplingData[[#This Row],[Candidate 7]])/(SamplingData[[#Totals],[Winning Candidate]]-SamplingData[[#Totals],[Candidate 7]]), 0)</f>
        <v>0</v>
      </c>
      <c r="W260" s="100">
        <f>IF(AND(SamplingData[[#This Row],[Total]]&lt;&gt; 0, NOT(ISBLANK(SamplingData[[#This Row],[Candidate 8]]))),(SamplingData[[#This Row],[Total]]+SamplingData[[#This Row],[Winning Candidate]]-SamplingData[[#This Row],[Candidate 8]])/(SamplingData[[#Totals],[Winning Candidate]]-SamplingData[[#Totals],[Candidate 8]]), 0)</f>
        <v>0</v>
      </c>
      <c r="X2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0" s="100">
        <f>MAX(SamplingData[[#This Row],[Error Bound (up) - Max. possible relative overstatement - Losing Candidate]:[Error Bound (up) - Max. possible relative overstatement - Candidate 12]])</f>
        <v>1.3526325769546805E-2</v>
      </c>
      <c r="AC260" s="100">
        <f>IF(SamplingData[[#This Row],[Max Error Bound (up)]] = 0,0,SamplingData[[#This Row],[Max Error Bound (up)]]/SamplingData[[#Totals],[Max Error Bound (up)]])</f>
        <v>5.4897343934400189E-3</v>
      </c>
      <c r="AD260" s="104">
        <f>SUM($AC$5:AC260)</f>
        <v>0.51068286543543517</v>
      </c>
      <c r="AE260" s="100" t="str" cm="1">
        <f t="array" ref="AE260">IF(SamplingData[[#This Row],[up/U Selection Probability]] = 0, "Zero", TEXT(SamplingData[[#This Row],[Lower Range]], REPT("0",LEN('General Info'!$B$42))) &amp; " - " &amp; TEXT(SamplingData[[#This Row],[Upper Range]], REPT("0",LEN('General Info'!$B$42))))</f>
        <v>50519 - 51067</v>
      </c>
      <c r="AF260" s="100">
        <f>SamplingData[[#This Row],[Upper Range]]-SamplingData[[#This Row],[Span]]</f>
        <v>50519.313104199515</v>
      </c>
      <c r="AG260" s="100">
        <f>IF(ISNUMBER('General Info'!$B$42), ((SamplingData[[#This Row],[up/U Selection Probability]]) * 'General Info'!$B$44) - 1, 0)</f>
        <v>547.97343934400192</v>
      </c>
      <c r="AH260" s="100">
        <f>IF(ISNUMBER('General Info'!$B$42), (SamplingData[[#This Row],[Running (cumulative) sum]] * ('General Info'!$B$42 -'General Info'!$B$43 + 1)) + 'General Info'!$B$43 - 1, 0)</f>
        <v>51067.286543543516</v>
      </c>
      <c r="AI260" s="100" t="str">
        <f>IF(ISERROR(MATCH(SamplingData[[#This Row],[Batch by Type (p)]],SelectedPrecincts[Batch Name], 0)), "", INDEX(SelectedPrecincts[Draw], MATCH(SamplingData[[#This Row],[Batch by Type (p)]],SelectedPrecincts[Batch Name], 0)))</f>
        <v/>
      </c>
      <c r="AJ260" s="101">
        <f>IF(COUNTIF(SelectedPrecincts[Batch Name],SamplingData[[#This Row],[Batch by Type (p)]]) &lt;&gt; 0, COUNTIF(SelectedPrecincts[Batch Name],SamplingData[[#This Row],[Batch by Type (p)]]), 0)</f>
        <v>0</v>
      </c>
    </row>
    <row r="261" spans="1:36" ht="15" customHeight="1" x14ac:dyDescent="0.35">
      <c r="A261" s="98" t="s">
        <v>472</v>
      </c>
      <c r="B261" s="98">
        <v>28</v>
      </c>
      <c r="C261" s="98">
        <v>3</v>
      </c>
      <c r="D261" s="93">
        <v>0</v>
      </c>
      <c r="E261" s="93"/>
      <c r="F261" s="93"/>
      <c r="G261" s="97"/>
      <c r="H261" s="97"/>
      <c r="I261" s="93"/>
      <c r="J261" s="93"/>
      <c r="K261" s="93"/>
      <c r="L261" s="93"/>
      <c r="M261" s="93"/>
      <c r="N261" s="98">
        <v>0</v>
      </c>
      <c r="O261" s="98">
        <v>0</v>
      </c>
      <c r="P261" s="99">
        <f>SUM(SamplingData[[#This Row],[Winning Candidate]:[Under Votes]])</f>
        <v>31</v>
      </c>
      <c r="Q261" s="100">
        <f>IF(AND(SamplingData[[#This Row],[Total]]&lt;&gt; 0, NOT(ISBLANK(SamplingData[[#This Row],[Losing Candidate]]))),(SamplingData[[#This Row],[Total]]+SamplingData[[#This Row],[Winning Candidate]]-SamplingData[[#This Row],[Losing Candidate]])/(SamplingData[[#Totals],[Winning Candidate]]-SamplingData[[#Totals],[Losing Candidate]]), 0)</f>
        <v>3.5395992667972948E-3</v>
      </c>
      <c r="R261" s="100">
        <f>IF(AND(SamplingData[[#This Row],[Total]]&lt;&gt; 0, NOT(ISBLANK(SamplingData[[#This Row],[Candidate 3]]))),(SamplingData[[#This Row],[Total]]+SamplingData[[#This Row],[Winning Candidate]]-SamplingData[[#This Row],[Candidate 3]])/(SamplingData[[#Totals],[Winning Candidate]]-SamplingData[[#Totals],[Candidate 3]]), 0)</f>
        <v>3.330322871980131E-3</v>
      </c>
      <c r="S261" s="100">
        <f>IF(AND(SamplingData[[#This Row],[Total]]&lt;&gt; 0, NOT(ISBLANK(SamplingData[[#This Row],[Candidate 4]]))),(SamplingData[[#This Row],[Total]]+SamplingData[[#This Row],[Winning Candidate]]-SamplingData[[#This Row],[Candidate 4]])/(SamplingData[[#Totals],[Winning Candidate]]-SamplingData[[#Totals],[Candidate 4]]), 0)</f>
        <v>0</v>
      </c>
      <c r="T261" s="100">
        <f>IF(AND(SamplingData[[#This Row],[Total]]&lt;&gt; 0, NOT(ISBLANK(SamplingData[[#This Row],[Candidate 5]]))),(SamplingData[[#This Row],[Total]]+SamplingData[[#This Row],[Winning Candidate]]-SamplingData[[#This Row],[Candidate 5]])/(SamplingData[[#Totals],[Winning Candidate]]-SamplingData[[#Totals],[Candidate 5]]), 0)</f>
        <v>0</v>
      </c>
      <c r="U261" s="100">
        <f>IF(AND(SamplingData[[#This Row],[Total]]&lt;&gt; 0, NOT(ISBLANK(SamplingData[[#This Row],[Candidate 6]]))),(SamplingData[[#This Row],[Total]]+SamplingData[[#This Row],[Losing Candidate]]-SamplingData[[#This Row],[Candidate 6]])/(SamplingData[[#Totals],[Winning Candidate]]-SamplingData[[#Totals],[Candidate 6]]), 0)</f>
        <v>0</v>
      </c>
      <c r="V261" s="100">
        <f>IF(AND(SamplingData[[#This Row],[Total]]&lt;&gt; 0, NOT(ISBLANK(SamplingData[[#This Row],[Candidate 7]]))),(SamplingData[[#This Row],[Total]]+SamplingData[[#This Row],[Winning Candidate]]-SamplingData[[#This Row],[Candidate 7]])/(SamplingData[[#Totals],[Winning Candidate]]-SamplingData[[#Totals],[Candidate 7]]), 0)</f>
        <v>0</v>
      </c>
      <c r="W261" s="100">
        <f>IF(AND(SamplingData[[#This Row],[Total]]&lt;&gt; 0, NOT(ISBLANK(SamplingData[[#This Row],[Candidate 8]]))),(SamplingData[[#This Row],[Total]]+SamplingData[[#This Row],[Winning Candidate]]-SamplingData[[#This Row],[Candidate 8]])/(SamplingData[[#Totals],[Winning Candidate]]-SamplingData[[#Totals],[Candidate 8]]), 0)</f>
        <v>0</v>
      </c>
      <c r="X2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1" s="100">
        <f>MAX(SamplingData[[#This Row],[Error Bound (up) - Max. possible relative overstatement - Losing Candidate]:[Error Bound (up) - Max. possible relative overstatement - Candidate 12]])</f>
        <v>3.5395992667972948E-3</v>
      </c>
      <c r="AC261" s="100">
        <f>IF(SamplingData[[#This Row],[Max Error Bound (up)]] = 0,0,SamplingData[[#This Row],[Max Error Bound (up)]]/SamplingData[[#Totals],[Max Error Bound (up)]])</f>
        <v>1.4365660094983225E-3</v>
      </c>
      <c r="AD261" s="104">
        <f>SUM($AC$5:AC261)</f>
        <v>0.51211943144493355</v>
      </c>
      <c r="AE261" s="100" t="str" cm="1">
        <f t="array" ref="AE261">IF(SamplingData[[#This Row],[up/U Selection Probability]] = 0, "Zero", TEXT(SamplingData[[#This Row],[Lower Range]], REPT("0",LEN('General Info'!$B$42))) &amp; " - " &amp; TEXT(SamplingData[[#This Row],[Upper Range]], REPT("0",LEN('General Info'!$B$42))))</f>
        <v>51068 - 51211</v>
      </c>
      <c r="AF261" s="100">
        <f>SamplingData[[#This Row],[Upper Range]]-SamplingData[[#This Row],[Span]]</f>
        <v>51068.286543543523</v>
      </c>
      <c r="AG261" s="100">
        <f>IF(ISNUMBER('General Info'!$B$42), ((SamplingData[[#This Row],[up/U Selection Probability]]) * 'General Info'!$B$44) - 1, 0)</f>
        <v>142.65660094983224</v>
      </c>
      <c r="AH261" s="100">
        <f>IF(ISNUMBER('General Info'!$B$42), (SamplingData[[#This Row],[Running (cumulative) sum]] * ('General Info'!$B$42 -'General Info'!$B$43 + 1)) + 'General Info'!$B$43 - 1, 0)</f>
        <v>51210.943144493358</v>
      </c>
      <c r="AI261" s="100" t="str">
        <f>IF(ISERROR(MATCH(SamplingData[[#This Row],[Batch by Type (p)]],SelectedPrecincts[Batch Name], 0)), "", INDEX(SelectedPrecincts[Draw], MATCH(SamplingData[[#This Row],[Batch by Type (p)]],SelectedPrecincts[Batch Name], 0)))</f>
        <v/>
      </c>
      <c r="AJ261" s="101">
        <f>IF(COUNTIF(SelectedPrecincts[Batch Name],SamplingData[[#This Row],[Batch by Type (p)]]) &lt;&gt; 0, COUNTIF(SelectedPrecincts[Batch Name],SamplingData[[#This Row],[Batch by Type (p)]]), 0)</f>
        <v>0</v>
      </c>
    </row>
    <row r="262" spans="1:36" ht="15" customHeight="1" x14ac:dyDescent="0.35">
      <c r="A262" s="98" t="s">
        <v>473</v>
      </c>
      <c r="B262" s="98">
        <v>175</v>
      </c>
      <c r="C262" s="98">
        <v>12</v>
      </c>
      <c r="D262" s="93">
        <v>16</v>
      </c>
      <c r="E262" s="93"/>
      <c r="F262" s="93"/>
      <c r="G262" s="97"/>
      <c r="H262" s="97"/>
      <c r="I262" s="93"/>
      <c r="J262" s="93"/>
      <c r="K262" s="93"/>
      <c r="L262" s="93"/>
      <c r="M262" s="93"/>
      <c r="N262" s="98">
        <v>0</v>
      </c>
      <c r="O262" s="98">
        <v>0</v>
      </c>
      <c r="P262" s="99">
        <f>SUM(SamplingData[[#This Row],[Winning Candidate]:[Under Votes]])</f>
        <v>203</v>
      </c>
      <c r="Q262" s="100">
        <f>IF(AND(SamplingData[[#This Row],[Total]]&lt;&gt; 0, NOT(ISBLANK(SamplingData[[#This Row],[Losing Candidate]]))),(SamplingData[[#This Row],[Total]]+SamplingData[[#This Row],[Winning Candidate]]-SamplingData[[#This Row],[Losing Candidate]])/(SamplingData[[#Totals],[Winning Candidate]]-SamplingData[[#Totals],[Losing Candidate]]), 0)</f>
        <v>2.313380949371089E-2</v>
      </c>
      <c r="R262" s="100">
        <f>IF(AND(SamplingData[[#This Row],[Total]]&lt;&gt; 0, NOT(ISBLANK(SamplingData[[#This Row],[Candidate 3]]))),(SamplingData[[#This Row],[Total]]+SamplingData[[#This Row],[Winning Candidate]]-SamplingData[[#This Row],[Candidate 3]])/(SamplingData[[#Totals],[Winning Candidate]]-SamplingData[[#Totals],[Candidate 3]]), 0)</f>
        <v>2.0433506434861141E-2</v>
      </c>
      <c r="S262" s="100">
        <f>IF(AND(SamplingData[[#This Row],[Total]]&lt;&gt; 0, NOT(ISBLANK(SamplingData[[#This Row],[Candidate 4]]))),(SamplingData[[#This Row],[Total]]+SamplingData[[#This Row],[Winning Candidate]]-SamplingData[[#This Row],[Candidate 4]])/(SamplingData[[#Totals],[Winning Candidate]]-SamplingData[[#Totals],[Candidate 4]]), 0)</f>
        <v>0</v>
      </c>
      <c r="T262" s="100">
        <f>IF(AND(SamplingData[[#This Row],[Total]]&lt;&gt; 0, NOT(ISBLANK(SamplingData[[#This Row],[Candidate 5]]))),(SamplingData[[#This Row],[Total]]+SamplingData[[#This Row],[Winning Candidate]]-SamplingData[[#This Row],[Candidate 5]])/(SamplingData[[#Totals],[Winning Candidate]]-SamplingData[[#Totals],[Candidate 5]]), 0)</f>
        <v>0</v>
      </c>
      <c r="U262" s="100">
        <f>IF(AND(SamplingData[[#This Row],[Total]]&lt;&gt; 0, NOT(ISBLANK(SamplingData[[#This Row],[Candidate 6]]))),(SamplingData[[#This Row],[Total]]+SamplingData[[#This Row],[Losing Candidate]]-SamplingData[[#This Row],[Candidate 6]])/(SamplingData[[#Totals],[Winning Candidate]]-SamplingData[[#Totals],[Candidate 6]]), 0)</f>
        <v>0</v>
      </c>
      <c r="V262" s="100">
        <f>IF(AND(SamplingData[[#This Row],[Total]]&lt;&gt; 0, NOT(ISBLANK(SamplingData[[#This Row],[Candidate 7]]))),(SamplingData[[#This Row],[Total]]+SamplingData[[#This Row],[Winning Candidate]]-SamplingData[[#This Row],[Candidate 7]])/(SamplingData[[#Totals],[Winning Candidate]]-SamplingData[[#Totals],[Candidate 7]]), 0)</f>
        <v>0</v>
      </c>
      <c r="W262" s="100">
        <f>IF(AND(SamplingData[[#This Row],[Total]]&lt;&gt; 0, NOT(ISBLANK(SamplingData[[#This Row],[Candidate 8]]))),(SamplingData[[#This Row],[Total]]+SamplingData[[#This Row],[Winning Candidate]]-SamplingData[[#This Row],[Candidate 8]])/(SamplingData[[#Totals],[Winning Candidate]]-SamplingData[[#Totals],[Candidate 8]]), 0)</f>
        <v>0</v>
      </c>
      <c r="X2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2" s="100">
        <f>MAX(SamplingData[[#This Row],[Error Bound (up) - Max. possible relative overstatement - Losing Candidate]:[Error Bound (up) - Max. possible relative overstatement - Candidate 12]])</f>
        <v>2.313380949371089E-2</v>
      </c>
      <c r="AC262" s="100">
        <f>IF(SamplingData[[#This Row],[Max Error Bound (up)]] = 0,0,SamplingData[[#This Row],[Max Error Bound (up)]]/SamplingData[[#Totals],[Max Error Bound (up)]])</f>
        <v>9.388984990649751E-3</v>
      </c>
      <c r="AD262" s="104">
        <f>SUM($AC$5:AC262)</f>
        <v>0.52150841643558332</v>
      </c>
      <c r="AE262" s="100" t="str" cm="1">
        <f t="array" ref="AE262">IF(SamplingData[[#This Row],[up/U Selection Probability]] = 0, "Zero", TEXT(SamplingData[[#This Row],[Lower Range]], REPT("0",LEN('General Info'!$B$42))) &amp; " - " &amp; TEXT(SamplingData[[#This Row],[Upper Range]], REPT("0",LEN('General Info'!$B$42))))</f>
        <v>51212 - 52150</v>
      </c>
      <c r="AF262" s="100">
        <f>SamplingData[[#This Row],[Upper Range]]-SamplingData[[#This Row],[Span]]</f>
        <v>51211.943144493358</v>
      </c>
      <c r="AG262" s="100">
        <f>IF(ISNUMBER('General Info'!$B$42), ((SamplingData[[#This Row],[up/U Selection Probability]]) * 'General Info'!$B$44) - 1, 0)</f>
        <v>937.89849906497511</v>
      </c>
      <c r="AH262" s="100">
        <f>IF(ISNUMBER('General Info'!$B$42), (SamplingData[[#This Row],[Running (cumulative) sum]] * ('General Info'!$B$42 -'General Info'!$B$43 + 1)) + 'General Info'!$B$43 - 1, 0)</f>
        <v>52149.841643558335</v>
      </c>
      <c r="AI262" s="100" t="str">
        <f>IF(ISERROR(MATCH(SamplingData[[#This Row],[Batch by Type (p)]],SelectedPrecincts[Batch Name], 0)), "", INDEX(SelectedPrecincts[Draw], MATCH(SamplingData[[#This Row],[Batch by Type (p)]],SelectedPrecincts[Batch Name], 0)))</f>
        <v/>
      </c>
      <c r="AJ262" s="101">
        <f>IF(COUNTIF(SelectedPrecincts[Batch Name],SamplingData[[#This Row],[Batch by Type (p)]]) &lt;&gt; 0, COUNTIF(SelectedPrecincts[Batch Name],SamplingData[[#This Row],[Batch by Type (p)]]), 0)</f>
        <v>0</v>
      </c>
    </row>
    <row r="263" spans="1:36" ht="15" customHeight="1" x14ac:dyDescent="0.35">
      <c r="A263" s="98" t="s">
        <v>474</v>
      </c>
      <c r="B263" s="98">
        <v>64</v>
      </c>
      <c r="C263" s="98">
        <v>7</v>
      </c>
      <c r="D263" s="93">
        <v>0</v>
      </c>
      <c r="E263" s="93"/>
      <c r="F263" s="93"/>
      <c r="G263" s="97"/>
      <c r="H263" s="97"/>
      <c r="I263" s="93"/>
      <c r="J263" s="93"/>
      <c r="K263" s="93"/>
      <c r="L263" s="93"/>
      <c r="M263" s="93"/>
      <c r="N263" s="98">
        <v>0</v>
      </c>
      <c r="O263" s="98">
        <v>0</v>
      </c>
      <c r="P263" s="99">
        <f>SUM(SamplingData[[#This Row],[Winning Candidate]:[Under Votes]])</f>
        <v>71</v>
      </c>
      <c r="Q263" s="100">
        <f>IF(AND(SamplingData[[#This Row],[Total]]&lt;&gt; 0, NOT(ISBLANK(SamplingData[[#This Row],[Losing Candidate]]))),(SamplingData[[#This Row],[Total]]+SamplingData[[#This Row],[Winning Candidate]]-SamplingData[[#This Row],[Losing Candidate]])/(SamplingData[[#Totals],[Winning Candidate]]-SamplingData[[#Totals],[Losing Candidate]]), 0)</f>
        <v>8.0905126098223881E-3</v>
      </c>
      <c r="R263" s="100">
        <f>IF(AND(SamplingData[[#This Row],[Total]]&lt;&gt; 0, NOT(ISBLANK(SamplingData[[#This Row],[Candidate 3]]))),(SamplingData[[#This Row],[Total]]+SamplingData[[#This Row],[Winning Candidate]]-SamplingData[[#This Row],[Candidate 3]])/(SamplingData[[#Totals],[Winning Candidate]]-SamplingData[[#Totals],[Candidate 3]]), 0)</f>
        <v>7.6202303002935196E-3</v>
      </c>
      <c r="S263" s="100">
        <f>IF(AND(SamplingData[[#This Row],[Total]]&lt;&gt; 0, NOT(ISBLANK(SamplingData[[#This Row],[Candidate 4]]))),(SamplingData[[#This Row],[Total]]+SamplingData[[#This Row],[Winning Candidate]]-SamplingData[[#This Row],[Candidate 4]])/(SamplingData[[#Totals],[Winning Candidate]]-SamplingData[[#Totals],[Candidate 4]]), 0)</f>
        <v>0</v>
      </c>
      <c r="T263" s="100">
        <f>IF(AND(SamplingData[[#This Row],[Total]]&lt;&gt; 0, NOT(ISBLANK(SamplingData[[#This Row],[Candidate 5]]))),(SamplingData[[#This Row],[Total]]+SamplingData[[#This Row],[Winning Candidate]]-SamplingData[[#This Row],[Candidate 5]])/(SamplingData[[#Totals],[Winning Candidate]]-SamplingData[[#Totals],[Candidate 5]]), 0)</f>
        <v>0</v>
      </c>
      <c r="U263" s="100">
        <f>IF(AND(SamplingData[[#This Row],[Total]]&lt;&gt; 0, NOT(ISBLANK(SamplingData[[#This Row],[Candidate 6]]))),(SamplingData[[#This Row],[Total]]+SamplingData[[#This Row],[Losing Candidate]]-SamplingData[[#This Row],[Candidate 6]])/(SamplingData[[#Totals],[Winning Candidate]]-SamplingData[[#Totals],[Candidate 6]]), 0)</f>
        <v>0</v>
      </c>
      <c r="V263" s="100">
        <f>IF(AND(SamplingData[[#This Row],[Total]]&lt;&gt; 0, NOT(ISBLANK(SamplingData[[#This Row],[Candidate 7]]))),(SamplingData[[#This Row],[Total]]+SamplingData[[#This Row],[Winning Candidate]]-SamplingData[[#This Row],[Candidate 7]])/(SamplingData[[#Totals],[Winning Candidate]]-SamplingData[[#Totals],[Candidate 7]]), 0)</f>
        <v>0</v>
      </c>
      <c r="W263" s="100">
        <f>IF(AND(SamplingData[[#This Row],[Total]]&lt;&gt; 0, NOT(ISBLANK(SamplingData[[#This Row],[Candidate 8]]))),(SamplingData[[#This Row],[Total]]+SamplingData[[#This Row],[Winning Candidate]]-SamplingData[[#This Row],[Candidate 8]])/(SamplingData[[#Totals],[Winning Candidate]]-SamplingData[[#Totals],[Candidate 8]]), 0)</f>
        <v>0</v>
      </c>
      <c r="X2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3" s="100">
        <f>MAX(SamplingData[[#This Row],[Error Bound (up) - Max. possible relative overstatement - Losing Candidate]:[Error Bound (up) - Max. possible relative overstatement - Candidate 12]])</f>
        <v>8.0905126098223881E-3</v>
      </c>
      <c r="AC263" s="100">
        <f>IF(SamplingData[[#This Row],[Max Error Bound (up)]] = 0,0,SamplingData[[#This Row],[Max Error Bound (up)]]/SamplingData[[#Totals],[Max Error Bound (up)]])</f>
        <v>3.2835794502818804E-3</v>
      </c>
      <c r="AD263" s="104">
        <f>SUM($AC$5:AC263)</f>
        <v>0.52479199588586523</v>
      </c>
      <c r="AE263" s="100" t="str" cm="1">
        <f t="array" ref="AE263">IF(SamplingData[[#This Row],[up/U Selection Probability]] = 0, "Zero", TEXT(SamplingData[[#This Row],[Lower Range]], REPT("0",LEN('General Info'!$B$42))) &amp; " - " &amp; TEXT(SamplingData[[#This Row],[Upper Range]], REPT("0",LEN('General Info'!$B$42))))</f>
        <v>52151 - 52478</v>
      </c>
      <c r="AF263" s="100">
        <f>SamplingData[[#This Row],[Upper Range]]-SamplingData[[#This Row],[Span]]</f>
        <v>52150.841643558335</v>
      </c>
      <c r="AG263" s="100">
        <f>IF(ISNUMBER('General Info'!$B$42), ((SamplingData[[#This Row],[up/U Selection Probability]]) * 'General Info'!$B$44) - 1, 0)</f>
        <v>327.35794502818806</v>
      </c>
      <c r="AH263" s="100">
        <f>IF(ISNUMBER('General Info'!$B$42), (SamplingData[[#This Row],[Running (cumulative) sum]] * ('General Info'!$B$42 -'General Info'!$B$43 + 1)) + 'General Info'!$B$43 - 1, 0)</f>
        <v>52478.199588586525</v>
      </c>
      <c r="AI263" s="100" t="str">
        <f>IF(ISERROR(MATCH(SamplingData[[#This Row],[Batch by Type (p)]],SelectedPrecincts[Batch Name], 0)), "", INDEX(SelectedPrecincts[Draw], MATCH(SamplingData[[#This Row],[Batch by Type (p)]],SelectedPrecincts[Batch Name], 0)))</f>
        <v/>
      </c>
      <c r="AJ263" s="101">
        <f>IF(COUNTIF(SelectedPrecincts[Batch Name],SamplingData[[#This Row],[Batch by Type (p)]]) &lt;&gt; 0, COUNTIF(SelectedPrecincts[Batch Name],SamplingData[[#This Row],[Batch by Type (p)]]), 0)</f>
        <v>0</v>
      </c>
    </row>
    <row r="264" spans="1:36" ht="15" customHeight="1" x14ac:dyDescent="0.35">
      <c r="A264" s="98" t="s">
        <v>475</v>
      </c>
      <c r="B264" s="98">
        <v>46</v>
      </c>
      <c r="C264" s="98">
        <v>2</v>
      </c>
      <c r="D264" s="93">
        <v>0</v>
      </c>
      <c r="E264" s="93"/>
      <c r="F264" s="93"/>
      <c r="G264" s="97"/>
      <c r="H264" s="97"/>
      <c r="I264" s="93"/>
      <c r="J264" s="93"/>
      <c r="K264" s="93"/>
      <c r="L264" s="93"/>
      <c r="M264" s="93"/>
      <c r="N264" s="98">
        <v>0</v>
      </c>
      <c r="O264" s="98">
        <v>0</v>
      </c>
      <c r="P264" s="99">
        <f>SUM(SamplingData[[#This Row],[Winning Candidate]:[Under Votes]])</f>
        <v>48</v>
      </c>
      <c r="Q264" s="100">
        <f>IF(AND(SamplingData[[#This Row],[Total]]&lt;&gt; 0, NOT(ISBLANK(SamplingData[[#This Row],[Losing Candidate]]))),(SamplingData[[#This Row],[Total]]+SamplingData[[#This Row],[Winning Candidate]]-SamplingData[[#This Row],[Losing Candidate]])/(SamplingData[[#Totals],[Winning Candidate]]-SamplingData[[#Totals],[Losing Candidate]]), 0)</f>
        <v>5.8150559383098417E-3</v>
      </c>
      <c r="R264" s="100">
        <f>IF(AND(SamplingData[[#This Row],[Total]]&lt;&gt; 0, NOT(ISBLANK(SamplingData[[#This Row],[Candidate 3]]))),(SamplingData[[#This Row],[Total]]+SamplingData[[#This Row],[Winning Candidate]]-SamplingData[[#This Row],[Candidate 3]])/(SamplingData[[#Totals],[Winning Candidate]]-SamplingData[[#Totals],[Candidate 3]]), 0)</f>
        <v>5.3059381350191916E-3</v>
      </c>
      <c r="S264" s="100">
        <f>IF(AND(SamplingData[[#This Row],[Total]]&lt;&gt; 0, NOT(ISBLANK(SamplingData[[#This Row],[Candidate 4]]))),(SamplingData[[#This Row],[Total]]+SamplingData[[#This Row],[Winning Candidate]]-SamplingData[[#This Row],[Candidate 4]])/(SamplingData[[#Totals],[Winning Candidate]]-SamplingData[[#Totals],[Candidate 4]]), 0)</f>
        <v>0</v>
      </c>
      <c r="T264" s="100">
        <f>IF(AND(SamplingData[[#This Row],[Total]]&lt;&gt; 0, NOT(ISBLANK(SamplingData[[#This Row],[Candidate 5]]))),(SamplingData[[#This Row],[Total]]+SamplingData[[#This Row],[Winning Candidate]]-SamplingData[[#This Row],[Candidate 5]])/(SamplingData[[#Totals],[Winning Candidate]]-SamplingData[[#Totals],[Candidate 5]]), 0)</f>
        <v>0</v>
      </c>
      <c r="U264" s="100">
        <f>IF(AND(SamplingData[[#This Row],[Total]]&lt;&gt; 0, NOT(ISBLANK(SamplingData[[#This Row],[Candidate 6]]))),(SamplingData[[#This Row],[Total]]+SamplingData[[#This Row],[Losing Candidate]]-SamplingData[[#This Row],[Candidate 6]])/(SamplingData[[#Totals],[Winning Candidate]]-SamplingData[[#Totals],[Candidate 6]]), 0)</f>
        <v>0</v>
      </c>
      <c r="V264" s="100">
        <f>IF(AND(SamplingData[[#This Row],[Total]]&lt;&gt; 0, NOT(ISBLANK(SamplingData[[#This Row],[Candidate 7]]))),(SamplingData[[#This Row],[Total]]+SamplingData[[#This Row],[Winning Candidate]]-SamplingData[[#This Row],[Candidate 7]])/(SamplingData[[#Totals],[Winning Candidate]]-SamplingData[[#Totals],[Candidate 7]]), 0)</f>
        <v>0</v>
      </c>
      <c r="W264" s="100">
        <f>IF(AND(SamplingData[[#This Row],[Total]]&lt;&gt; 0, NOT(ISBLANK(SamplingData[[#This Row],[Candidate 8]]))),(SamplingData[[#This Row],[Total]]+SamplingData[[#This Row],[Winning Candidate]]-SamplingData[[#This Row],[Candidate 8]])/(SamplingData[[#Totals],[Winning Candidate]]-SamplingData[[#Totals],[Candidate 8]]), 0)</f>
        <v>0</v>
      </c>
      <c r="X2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4" s="100">
        <f>MAX(SamplingData[[#This Row],[Error Bound (up) - Max. possible relative overstatement - Losing Candidate]:[Error Bound (up) - Max. possible relative overstatement - Candidate 12]])</f>
        <v>5.8150559383098417E-3</v>
      </c>
      <c r="AC264" s="100">
        <f>IF(SamplingData[[#This Row],[Max Error Bound (up)]] = 0,0,SamplingData[[#This Row],[Max Error Bound (up)]]/SamplingData[[#Totals],[Max Error Bound (up)]])</f>
        <v>2.3600727298901014E-3</v>
      </c>
      <c r="AD264" s="104">
        <f>SUM($AC$5:AC264)</f>
        <v>0.52715206861575536</v>
      </c>
      <c r="AE264" s="100" t="str" cm="1">
        <f t="array" ref="AE264">IF(SamplingData[[#This Row],[up/U Selection Probability]] = 0, "Zero", TEXT(SamplingData[[#This Row],[Lower Range]], REPT("0",LEN('General Info'!$B$42))) &amp; " - " &amp; TEXT(SamplingData[[#This Row],[Upper Range]], REPT("0",LEN('General Info'!$B$42))))</f>
        <v>52479 - 52714</v>
      </c>
      <c r="AF264" s="100">
        <f>SamplingData[[#This Row],[Upper Range]]-SamplingData[[#This Row],[Span]]</f>
        <v>52479.199588586525</v>
      </c>
      <c r="AG264" s="100">
        <f>IF(ISNUMBER('General Info'!$B$42), ((SamplingData[[#This Row],[up/U Selection Probability]]) * 'General Info'!$B$44) - 1, 0)</f>
        <v>235.00727298901015</v>
      </c>
      <c r="AH264" s="100">
        <f>IF(ISNUMBER('General Info'!$B$42), (SamplingData[[#This Row],[Running (cumulative) sum]] * ('General Info'!$B$42 -'General Info'!$B$43 + 1)) + 'General Info'!$B$43 - 1, 0)</f>
        <v>52714.206861575534</v>
      </c>
      <c r="AI264" s="100" t="str">
        <f>IF(ISERROR(MATCH(SamplingData[[#This Row],[Batch by Type (p)]],SelectedPrecincts[Batch Name], 0)), "", INDEX(SelectedPrecincts[Draw], MATCH(SamplingData[[#This Row],[Batch by Type (p)]],SelectedPrecincts[Batch Name], 0)))</f>
        <v/>
      </c>
      <c r="AJ264" s="101">
        <f>IF(COUNTIF(SelectedPrecincts[Batch Name],SamplingData[[#This Row],[Batch by Type (p)]]) &lt;&gt; 0, COUNTIF(SelectedPrecincts[Batch Name],SamplingData[[#This Row],[Batch by Type (p)]]), 0)</f>
        <v>0</v>
      </c>
    </row>
    <row r="265" spans="1:36" ht="15" customHeight="1" x14ac:dyDescent="0.35">
      <c r="A265" s="98" t="s">
        <v>476</v>
      </c>
      <c r="B265" s="98">
        <v>105</v>
      </c>
      <c r="C265" s="98">
        <v>25</v>
      </c>
      <c r="D265" s="93">
        <v>4</v>
      </c>
      <c r="E265" s="93"/>
      <c r="F265" s="93"/>
      <c r="G265" s="97"/>
      <c r="H265" s="97"/>
      <c r="I265" s="93"/>
      <c r="J265" s="93"/>
      <c r="K265" s="93"/>
      <c r="L265" s="93"/>
      <c r="M265" s="93"/>
      <c r="N265" s="98">
        <v>0</v>
      </c>
      <c r="O265" s="98">
        <v>1</v>
      </c>
      <c r="P265" s="99">
        <f>SUM(SamplingData[[#This Row],[Winning Candidate]:[Under Votes]])</f>
        <v>135</v>
      </c>
      <c r="Q265" s="100">
        <f>IF(AND(SamplingData[[#This Row],[Total]]&lt;&gt; 0, NOT(ISBLANK(SamplingData[[#This Row],[Losing Candidate]]))),(SamplingData[[#This Row],[Total]]+SamplingData[[#This Row],[Winning Candidate]]-SamplingData[[#This Row],[Losing Candidate]])/(SamplingData[[#Totals],[Winning Candidate]]-SamplingData[[#Totals],[Losing Candidate]]), 0)</f>
        <v>1.3589532899311042E-2</v>
      </c>
      <c r="R265" s="100">
        <f>IF(AND(SamplingData[[#This Row],[Total]]&lt;&gt; 0, NOT(ISBLANK(SamplingData[[#This Row],[Candidate 3]]))),(SamplingData[[#This Row],[Total]]+SamplingData[[#This Row],[Winning Candidate]]-SamplingData[[#This Row],[Candidate 3]])/(SamplingData[[#Totals],[Winning Candidate]]-SamplingData[[#Totals],[Candidate 3]]), 0)</f>
        <v>1.3321291487920524E-2</v>
      </c>
      <c r="S265" s="100">
        <f>IF(AND(SamplingData[[#This Row],[Total]]&lt;&gt; 0, NOT(ISBLANK(SamplingData[[#This Row],[Candidate 4]]))),(SamplingData[[#This Row],[Total]]+SamplingData[[#This Row],[Winning Candidate]]-SamplingData[[#This Row],[Candidate 4]])/(SamplingData[[#Totals],[Winning Candidate]]-SamplingData[[#Totals],[Candidate 4]]), 0)</f>
        <v>0</v>
      </c>
      <c r="T265" s="100">
        <f>IF(AND(SamplingData[[#This Row],[Total]]&lt;&gt; 0, NOT(ISBLANK(SamplingData[[#This Row],[Candidate 5]]))),(SamplingData[[#This Row],[Total]]+SamplingData[[#This Row],[Winning Candidate]]-SamplingData[[#This Row],[Candidate 5]])/(SamplingData[[#Totals],[Winning Candidate]]-SamplingData[[#Totals],[Candidate 5]]), 0)</f>
        <v>0</v>
      </c>
      <c r="U265" s="100">
        <f>IF(AND(SamplingData[[#This Row],[Total]]&lt;&gt; 0, NOT(ISBLANK(SamplingData[[#This Row],[Candidate 6]]))),(SamplingData[[#This Row],[Total]]+SamplingData[[#This Row],[Losing Candidate]]-SamplingData[[#This Row],[Candidate 6]])/(SamplingData[[#Totals],[Winning Candidate]]-SamplingData[[#Totals],[Candidate 6]]), 0)</f>
        <v>0</v>
      </c>
      <c r="V265" s="100">
        <f>IF(AND(SamplingData[[#This Row],[Total]]&lt;&gt; 0, NOT(ISBLANK(SamplingData[[#This Row],[Candidate 7]]))),(SamplingData[[#This Row],[Total]]+SamplingData[[#This Row],[Winning Candidate]]-SamplingData[[#This Row],[Candidate 7]])/(SamplingData[[#Totals],[Winning Candidate]]-SamplingData[[#Totals],[Candidate 7]]), 0)</f>
        <v>0</v>
      </c>
      <c r="W265" s="100">
        <f>IF(AND(SamplingData[[#This Row],[Total]]&lt;&gt; 0, NOT(ISBLANK(SamplingData[[#This Row],[Candidate 8]]))),(SamplingData[[#This Row],[Total]]+SamplingData[[#This Row],[Winning Candidate]]-SamplingData[[#This Row],[Candidate 8]])/(SamplingData[[#Totals],[Winning Candidate]]-SamplingData[[#Totals],[Candidate 8]]), 0)</f>
        <v>0</v>
      </c>
      <c r="X2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5" s="100">
        <f>MAX(SamplingData[[#This Row],[Error Bound (up) - Max. possible relative overstatement - Losing Candidate]:[Error Bound (up) - Max. possible relative overstatement - Candidate 12]])</f>
        <v>1.3589532899311042E-2</v>
      </c>
      <c r="AC265" s="100">
        <f>IF(SamplingData[[#This Row],[Max Error Bound (up)]] = 0,0,SamplingData[[#This Row],[Max Error Bound (up)]]/SamplingData[[#Totals],[Max Error Bound (up)]])</f>
        <v>5.5153873578953454E-3</v>
      </c>
      <c r="AD265" s="104">
        <f>SUM($AC$5:AC265)</f>
        <v>0.53266745597365073</v>
      </c>
      <c r="AE265" s="100" t="str" cm="1">
        <f t="array" ref="AE265">IF(SamplingData[[#This Row],[up/U Selection Probability]] = 0, "Zero", TEXT(SamplingData[[#This Row],[Lower Range]], REPT("0",LEN('General Info'!$B$42))) &amp; " - " &amp; TEXT(SamplingData[[#This Row],[Upper Range]], REPT("0",LEN('General Info'!$B$42))))</f>
        <v>52715 - 53266</v>
      </c>
      <c r="AF265" s="100">
        <f>SamplingData[[#This Row],[Upper Range]]-SamplingData[[#This Row],[Span]]</f>
        <v>52715.206861575534</v>
      </c>
      <c r="AG265" s="100">
        <f>IF(ISNUMBER('General Info'!$B$42), ((SamplingData[[#This Row],[up/U Selection Probability]]) * 'General Info'!$B$44) - 1, 0)</f>
        <v>550.53873578953448</v>
      </c>
      <c r="AH265" s="100">
        <f>IF(ISNUMBER('General Info'!$B$42), (SamplingData[[#This Row],[Running (cumulative) sum]] * ('General Info'!$B$42 -'General Info'!$B$43 + 1)) + 'General Info'!$B$43 - 1, 0)</f>
        <v>53265.745597365072</v>
      </c>
      <c r="AI265" s="100" t="str">
        <f>IF(ISERROR(MATCH(SamplingData[[#This Row],[Batch by Type (p)]],SelectedPrecincts[Batch Name], 0)), "", INDEX(SelectedPrecincts[Draw], MATCH(SamplingData[[#This Row],[Batch by Type (p)]],SelectedPrecincts[Batch Name], 0)))</f>
        <v/>
      </c>
      <c r="AJ265" s="101">
        <f>IF(COUNTIF(SelectedPrecincts[Batch Name],SamplingData[[#This Row],[Batch by Type (p)]]) &lt;&gt; 0, COUNTIF(SelectedPrecincts[Batch Name],SamplingData[[#This Row],[Batch by Type (p)]]), 0)</f>
        <v>0</v>
      </c>
    </row>
    <row r="266" spans="1:36" ht="15" customHeight="1" x14ac:dyDescent="0.35">
      <c r="A266" s="98" t="s">
        <v>477</v>
      </c>
      <c r="B266" s="98">
        <v>62</v>
      </c>
      <c r="C266" s="98">
        <v>6</v>
      </c>
      <c r="D266" s="93">
        <v>3</v>
      </c>
      <c r="E266" s="93"/>
      <c r="F266" s="93"/>
      <c r="G266" s="97"/>
      <c r="H266" s="97"/>
      <c r="I266" s="93"/>
      <c r="J266" s="93"/>
      <c r="K266" s="93"/>
      <c r="L266" s="93"/>
      <c r="M266" s="93"/>
      <c r="N266" s="98">
        <v>0</v>
      </c>
      <c r="O266" s="98">
        <v>1</v>
      </c>
      <c r="P266" s="99">
        <f>SUM(SamplingData[[#This Row],[Winning Candidate]:[Under Votes]])</f>
        <v>72</v>
      </c>
      <c r="Q266" s="100">
        <f>IF(AND(SamplingData[[#This Row],[Total]]&lt;&gt; 0, NOT(ISBLANK(SamplingData[[#This Row],[Losing Candidate]]))),(SamplingData[[#This Row],[Total]]+SamplingData[[#This Row],[Winning Candidate]]-SamplingData[[#This Row],[Losing Candidate]])/(SamplingData[[#Totals],[Winning Candidate]]-SamplingData[[#Totals],[Losing Candidate]]), 0)</f>
        <v>8.0905126098223881E-3</v>
      </c>
      <c r="R266" s="100">
        <f>IF(AND(SamplingData[[#This Row],[Total]]&lt;&gt; 0, NOT(ISBLANK(SamplingData[[#This Row],[Candidate 3]]))),(SamplingData[[#This Row],[Total]]+SamplingData[[#This Row],[Winning Candidate]]-SamplingData[[#This Row],[Candidate 3]])/(SamplingData[[#Totals],[Winning Candidate]]-SamplingData[[#Totals],[Candidate 3]]), 0)</f>
        <v>7.3944456988033419E-3</v>
      </c>
      <c r="S266" s="100">
        <f>IF(AND(SamplingData[[#This Row],[Total]]&lt;&gt; 0, NOT(ISBLANK(SamplingData[[#This Row],[Candidate 4]]))),(SamplingData[[#This Row],[Total]]+SamplingData[[#This Row],[Winning Candidate]]-SamplingData[[#This Row],[Candidate 4]])/(SamplingData[[#Totals],[Winning Candidate]]-SamplingData[[#Totals],[Candidate 4]]), 0)</f>
        <v>0</v>
      </c>
      <c r="T266" s="100">
        <f>IF(AND(SamplingData[[#This Row],[Total]]&lt;&gt; 0, NOT(ISBLANK(SamplingData[[#This Row],[Candidate 5]]))),(SamplingData[[#This Row],[Total]]+SamplingData[[#This Row],[Winning Candidate]]-SamplingData[[#This Row],[Candidate 5]])/(SamplingData[[#Totals],[Winning Candidate]]-SamplingData[[#Totals],[Candidate 5]]), 0)</f>
        <v>0</v>
      </c>
      <c r="U266" s="100">
        <f>IF(AND(SamplingData[[#This Row],[Total]]&lt;&gt; 0, NOT(ISBLANK(SamplingData[[#This Row],[Candidate 6]]))),(SamplingData[[#This Row],[Total]]+SamplingData[[#This Row],[Losing Candidate]]-SamplingData[[#This Row],[Candidate 6]])/(SamplingData[[#Totals],[Winning Candidate]]-SamplingData[[#Totals],[Candidate 6]]), 0)</f>
        <v>0</v>
      </c>
      <c r="V266" s="100">
        <f>IF(AND(SamplingData[[#This Row],[Total]]&lt;&gt; 0, NOT(ISBLANK(SamplingData[[#This Row],[Candidate 7]]))),(SamplingData[[#This Row],[Total]]+SamplingData[[#This Row],[Winning Candidate]]-SamplingData[[#This Row],[Candidate 7]])/(SamplingData[[#Totals],[Winning Candidate]]-SamplingData[[#Totals],[Candidate 7]]), 0)</f>
        <v>0</v>
      </c>
      <c r="W266" s="100">
        <f>IF(AND(SamplingData[[#This Row],[Total]]&lt;&gt; 0, NOT(ISBLANK(SamplingData[[#This Row],[Candidate 8]]))),(SamplingData[[#This Row],[Total]]+SamplingData[[#This Row],[Winning Candidate]]-SamplingData[[#This Row],[Candidate 8]])/(SamplingData[[#Totals],[Winning Candidate]]-SamplingData[[#Totals],[Candidate 8]]), 0)</f>
        <v>0</v>
      </c>
      <c r="X2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6" s="100">
        <f>MAX(SamplingData[[#This Row],[Error Bound (up) - Max. possible relative overstatement - Losing Candidate]:[Error Bound (up) - Max. possible relative overstatement - Candidate 12]])</f>
        <v>8.0905126098223881E-3</v>
      </c>
      <c r="AC266" s="100">
        <f>IF(SamplingData[[#This Row],[Max Error Bound (up)]] = 0,0,SamplingData[[#This Row],[Max Error Bound (up)]]/SamplingData[[#Totals],[Max Error Bound (up)]])</f>
        <v>3.2835794502818804E-3</v>
      </c>
      <c r="AD266" s="104">
        <f>SUM($AC$5:AC266)</f>
        <v>0.53595103542393263</v>
      </c>
      <c r="AE266" s="100" t="str" cm="1">
        <f t="array" ref="AE266">IF(SamplingData[[#This Row],[up/U Selection Probability]] = 0, "Zero", TEXT(SamplingData[[#This Row],[Lower Range]], REPT("0",LEN('General Info'!$B$42))) &amp; " - " &amp; TEXT(SamplingData[[#This Row],[Upper Range]], REPT("0",LEN('General Info'!$B$42))))</f>
        <v>53267 - 53594</v>
      </c>
      <c r="AF266" s="100">
        <f>SamplingData[[#This Row],[Upper Range]]-SamplingData[[#This Row],[Span]]</f>
        <v>53266.745597365072</v>
      </c>
      <c r="AG266" s="100">
        <f>IF(ISNUMBER('General Info'!$B$42), ((SamplingData[[#This Row],[up/U Selection Probability]]) * 'General Info'!$B$44) - 1, 0)</f>
        <v>327.35794502818806</v>
      </c>
      <c r="AH266" s="100">
        <f>IF(ISNUMBER('General Info'!$B$42), (SamplingData[[#This Row],[Running (cumulative) sum]] * ('General Info'!$B$42 -'General Info'!$B$43 + 1)) + 'General Info'!$B$43 - 1, 0)</f>
        <v>53594.103542393263</v>
      </c>
      <c r="AI266" s="100" t="str">
        <f>IF(ISERROR(MATCH(SamplingData[[#This Row],[Batch by Type (p)]],SelectedPrecincts[Batch Name], 0)), "", INDEX(SelectedPrecincts[Draw], MATCH(SamplingData[[#This Row],[Batch by Type (p)]],SelectedPrecincts[Batch Name], 0)))</f>
        <v/>
      </c>
      <c r="AJ266" s="101">
        <f>IF(COUNTIF(SelectedPrecincts[Batch Name],SamplingData[[#This Row],[Batch by Type (p)]]) &lt;&gt; 0, COUNTIF(SelectedPrecincts[Batch Name],SamplingData[[#This Row],[Batch by Type (p)]]), 0)</f>
        <v>0</v>
      </c>
    </row>
    <row r="267" spans="1:36" ht="15" customHeight="1" x14ac:dyDescent="0.35">
      <c r="A267" s="98" t="s">
        <v>478</v>
      </c>
      <c r="B267" s="98">
        <v>85</v>
      </c>
      <c r="C267" s="98">
        <v>2</v>
      </c>
      <c r="D267" s="93">
        <v>1</v>
      </c>
      <c r="E267" s="93"/>
      <c r="F267" s="93"/>
      <c r="G267" s="97"/>
      <c r="H267" s="97"/>
      <c r="I267" s="93"/>
      <c r="J267" s="93"/>
      <c r="K267" s="93"/>
      <c r="L267" s="93"/>
      <c r="M267" s="93"/>
      <c r="N267" s="98">
        <v>0</v>
      </c>
      <c r="O267" s="98">
        <v>1</v>
      </c>
      <c r="P267" s="99">
        <f>SUM(SamplingData[[#This Row],[Winning Candidate]:[Under Votes]])</f>
        <v>89</v>
      </c>
      <c r="Q267" s="100">
        <f>IF(AND(SamplingData[[#This Row],[Total]]&lt;&gt; 0, NOT(ISBLANK(SamplingData[[#This Row],[Losing Candidate]]))),(SamplingData[[#This Row],[Total]]+SamplingData[[#This Row],[Winning Candidate]]-SamplingData[[#This Row],[Losing Candidate]])/(SamplingData[[#Totals],[Winning Candidate]]-SamplingData[[#Totals],[Losing Candidate]]), 0)</f>
        <v>1.0871626319448834E-2</v>
      </c>
      <c r="R267" s="100">
        <f>IF(AND(SamplingData[[#This Row],[Total]]&lt;&gt; 0, NOT(ISBLANK(SamplingData[[#This Row],[Candidate 3]]))),(SamplingData[[#This Row],[Total]]+SamplingData[[#This Row],[Winning Candidate]]-SamplingData[[#This Row],[Candidate 3]])/(SamplingData[[#Totals],[Winning Candidate]]-SamplingData[[#Totals],[Candidate 3]]), 0)</f>
        <v>9.765184014450215E-3</v>
      </c>
      <c r="S267" s="100">
        <f>IF(AND(SamplingData[[#This Row],[Total]]&lt;&gt; 0, NOT(ISBLANK(SamplingData[[#This Row],[Candidate 4]]))),(SamplingData[[#This Row],[Total]]+SamplingData[[#This Row],[Winning Candidate]]-SamplingData[[#This Row],[Candidate 4]])/(SamplingData[[#Totals],[Winning Candidate]]-SamplingData[[#Totals],[Candidate 4]]), 0)</f>
        <v>0</v>
      </c>
      <c r="T267" s="100">
        <f>IF(AND(SamplingData[[#This Row],[Total]]&lt;&gt; 0, NOT(ISBLANK(SamplingData[[#This Row],[Candidate 5]]))),(SamplingData[[#This Row],[Total]]+SamplingData[[#This Row],[Winning Candidate]]-SamplingData[[#This Row],[Candidate 5]])/(SamplingData[[#Totals],[Winning Candidate]]-SamplingData[[#Totals],[Candidate 5]]), 0)</f>
        <v>0</v>
      </c>
      <c r="U267" s="100">
        <f>IF(AND(SamplingData[[#This Row],[Total]]&lt;&gt; 0, NOT(ISBLANK(SamplingData[[#This Row],[Candidate 6]]))),(SamplingData[[#This Row],[Total]]+SamplingData[[#This Row],[Losing Candidate]]-SamplingData[[#This Row],[Candidate 6]])/(SamplingData[[#Totals],[Winning Candidate]]-SamplingData[[#Totals],[Candidate 6]]), 0)</f>
        <v>0</v>
      </c>
      <c r="V267" s="100">
        <f>IF(AND(SamplingData[[#This Row],[Total]]&lt;&gt; 0, NOT(ISBLANK(SamplingData[[#This Row],[Candidate 7]]))),(SamplingData[[#This Row],[Total]]+SamplingData[[#This Row],[Winning Candidate]]-SamplingData[[#This Row],[Candidate 7]])/(SamplingData[[#Totals],[Winning Candidate]]-SamplingData[[#Totals],[Candidate 7]]), 0)</f>
        <v>0</v>
      </c>
      <c r="W267" s="100">
        <f>IF(AND(SamplingData[[#This Row],[Total]]&lt;&gt; 0, NOT(ISBLANK(SamplingData[[#This Row],[Candidate 8]]))),(SamplingData[[#This Row],[Total]]+SamplingData[[#This Row],[Winning Candidate]]-SamplingData[[#This Row],[Candidate 8]])/(SamplingData[[#Totals],[Winning Candidate]]-SamplingData[[#Totals],[Candidate 8]]), 0)</f>
        <v>0</v>
      </c>
      <c r="X2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7" s="100">
        <f>MAX(SamplingData[[#This Row],[Error Bound (up) - Max. possible relative overstatement - Losing Candidate]:[Error Bound (up) - Max. possible relative overstatement - Candidate 12]])</f>
        <v>1.0871626319448834E-2</v>
      </c>
      <c r="AC267" s="100">
        <f>IF(SamplingData[[#This Row],[Max Error Bound (up)]] = 0,0,SamplingData[[#This Row],[Max Error Bound (up)]]/SamplingData[[#Totals],[Max Error Bound (up)]])</f>
        <v>4.412309886316277E-3</v>
      </c>
      <c r="AD267" s="104">
        <f>SUM($AC$5:AC267)</f>
        <v>0.54036334531024888</v>
      </c>
      <c r="AE267" s="100" t="str" cm="1">
        <f t="array" ref="AE267">IF(SamplingData[[#This Row],[up/U Selection Probability]] = 0, "Zero", TEXT(SamplingData[[#This Row],[Lower Range]], REPT("0",LEN('General Info'!$B$42))) &amp; " - " &amp; TEXT(SamplingData[[#This Row],[Upper Range]], REPT("0",LEN('General Info'!$B$42))))</f>
        <v>53595 - 54035</v>
      </c>
      <c r="AF267" s="100">
        <f>SamplingData[[#This Row],[Upper Range]]-SamplingData[[#This Row],[Span]]</f>
        <v>53595.103542393255</v>
      </c>
      <c r="AG267" s="100">
        <f>IF(ISNUMBER('General Info'!$B$42), ((SamplingData[[#This Row],[up/U Selection Probability]]) * 'General Info'!$B$44) - 1, 0)</f>
        <v>440.23098863162772</v>
      </c>
      <c r="AH267" s="100">
        <f>IF(ISNUMBER('General Info'!$B$42), (SamplingData[[#This Row],[Running (cumulative) sum]] * ('General Info'!$B$42 -'General Info'!$B$43 + 1)) + 'General Info'!$B$43 - 1, 0)</f>
        <v>54035.334531024884</v>
      </c>
      <c r="AI267" s="100" t="str">
        <f>IF(ISERROR(MATCH(SamplingData[[#This Row],[Batch by Type (p)]],SelectedPrecincts[Batch Name], 0)), "", INDEX(SelectedPrecincts[Draw], MATCH(SamplingData[[#This Row],[Batch by Type (p)]],SelectedPrecincts[Batch Name], 0)))</f>
        <v/>
      </c>
      <c r="AJ267" s="101">
        <f>IF(COUNTIF(SelectedPrecincts[Batch Name],SamplingData[[#This Row],[Batch by Type (p)]]) &lt;&gt; 0, COUNTIF(SelectedPrecincts[Batch Name],SamplingData[[#This Row],[Batch by Type (p)]]), 0)</f>
        <v>0</v>
      </c>
    </row>
    <row r="268" spans="1:36" ht="15" customHeight="1" x14ac:dyDescent="0.35">
      <c r="A268" s="98" t="s">
        <v>479</v>
      </c>
      <c r="B268" s="98">
        <v>78</v>
      </c>
      <c r="C268" s="98">
        <v>8</v>
      </c>
      <c r="D268" s="93">
        <v>5</v>
      </c>
      <c r="E268" s="93"/>
      <c r="F268" s="93"/>
      <c r="G268" s="97"/>
      <c r="H268" s="97"/>
      <c r="I268" s="93"/>
      <c r="J268" s="93"/>
      <c r="K268" s="93"/>
      <c r="L268" s="93"/>
      <c r="M268" s="93"/>
      <c r="N268" s="98">
        <v>0</v>
      </c>
      <c r="O268" s="98">
        <v>0</v>
      </c>
      <c r="P268" s="99">
        <f>SUM(SamplingData[[#This Row],[Winning Candidate]:[Under Votes]])</f>
        <v>91</v>
      </c>
      <c r="Q268" s="100">
        <f>IF(AND(SamplingData[[#This Row],[Total]]&lt;&gt; 0, NOT(ISBLANK(SamplingData[[#This Row],[Losing Candidate]]))),(SamplingData[[#This Row],[Total]]+SamplingData[[#This Row],[Winning Candidate]]-SamplingData[[#This Row],[Losing Candidate]])/(SamplingData[[#Totals],[Winning Candidate]]-SamplingData[[#Totals],[Losing Candidate]]), 0)</f>
        <v>1.0176347892042222E-2</v>
      </c>
      <c r="R268" s="100">
        <f>IF(AND(SamplingData[[#This Row],[Total]]&lt;&gt; 0, NOT(ISBLANK(SamplingData[[#This Row],[Candidate 3]]))),(SamplingData[[#This Row],[Total]]+SamplingData[[#This Row],[Winning Candidate]]-SamplingData[[#This Row],[Candidate 3]])/(SamplingData[[#Totals],[Winning Candidate]]-SamplingData[[#Totals],[Candidate 3]]), 0)</f>
        <v>9.2571686610973137E-3</v>
      </c>
      <c r="S268" s="100">
        <f>IF(AND(SamplingData[[#This Row],[Total]]&lt;&gt; 0, NOT(ISBLANK(SamplingData[[#This Row],[Candidate 4]]))),(SamplingData[[#This Row],[Total]]+SamplingData[[#This Row],[Winning Candidate]]-SamplingData[[#This Row],[Candidate 4]])/(SamplingData[[#Totals],[Winning Candidate]]-SamplingData[[#Totals],[Candidate 4]]), 0)</f>
        <v>0</v>
      </c>
      <c r="T268" s="100">
        <f>IF(AND(SamplingData[[#This Row],[Total]]&lt;&gt; 0, NOT(ISBLANK(SamplingData[[#This Row],[Candidate 5]]))),(SamplingData[[#This Row],[Total]]+SamplingData[[#This Row],[Winning Candidate]]-SamplingData[[#This Row],[Candidate 5]])/(SamplingData[[#Totals],[Winning Candidate]]-SamplingData[[#Totals],[Candidate 5]]), 0)</f>
        <v>0</v>
      </c>
      <c r="U268" s="100">
        <f>IF(AND(SamplingData[[#This Row],[Total]]&lt;&gt; 0, NOT(ISBLANK(SamplingData[[#This Row],[Candidate 6]]))),(SamplingData[[#This Row],[Total]]+SamplingData[[#This Row],[Losing Candidate]]-SamplingData[[#This Row],[Candidate 6]])/(SamplingData[[#Totals],[Winning Candidate]]-SamplingData[[#Totals],[Candidate 6]]), 0)</f>
        <v>0</v>
      </c>
      <c r="V268" s="100">
        <f>IF(AND(SamplingData[[#This Row],[Total]]&lt;&gt; 0, NOT(ISBLANK(SamplingData[[#This Row],[Candidate 7]]))),(SamplingData[[#This Row],[Total]]+SamplingData[[#This Row],[Winning Candidate]]-SamplingData[[#This Row],[Candidate 7]])/(SamplingData[[#Totals],[Winning Candidate]]-SamplingData[[#Totals],[Candidate 7]]), 0)</f>
        <v>0</v>
      </c>
      <c r="W268" s="100">
        <f>IF(AND(SamplingData[[#This Row],[Total]]&lt;&gt; 0, NOT(ISBLANK(SamplingData[[#This Row],[Candidate 8]]))),(SamplingData[[#This Row],[Total]]+SamplingData[[#This Row],[Winning Candidate]]-SamplingData[[#This Row],[Candidate 8]])/(SamplingData[[#Totals],[Winning Candidate]]-SamplingData[[#Totals],[Candidate 8]]), 0)</f>
        <v>0</v>
      </c>
      <c r="X2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8" s="100">
        <f>MAX(SamplingData[[#This Row],[Error Bound (up) - Max. possible relative overstatement - Losing Candidate]:[Error Bound (up) - Max. possible relative overstatement - Candidate 12]])</f>
        <v>1.0176347892042222E-2</v>
      </c>
      <c r="AC268" s="100">
        <f>IF(SamplingData[[#This Row],[Max Error Bound (up)]] = 0,0,SamplingData[[#This Row],[Max Error Bound (up)]]/SamplingData[[#Totals],[Max Error Bound (up)]])</f>
        <v>4.1301272773076776E-3</v>
      </c>
      <c r="AD268" s="104">
        <f>SUM($AC$5:AC268)</f>
        <v>0.54449347258755654</v>
      </c>
      <c r="AE268" s="100" t="str" cm="1">
        <f t="array" ref="AE268">IF(SamplingData[[#This Row],[up/U Selection Probability]] = 0, "Zero", TEXT(SamplingData[[#This Row],[Lower Range]], REPT("0",LEN('General Info'!$B$42))) &amp; " - " &amp; TEXT(SamplingData[[#This Row],[Upper Range]], REPT("0",LEN('General Info'!$B$42))))</f>
        <v>54036 - 54448</v>
      </c>
      <c r="AF268" s="100">
        <f>SamplingData[[#This Row],[Upper Range]]-SamplingData[[#This Row],[Span]]</f>
        <v>54036.334531024884</v>
      </c>
      <c r="AG268" s="100">
        <f>IF(ISNUMBER('General Info'!$B$42), ((SamplingData[[#This Row],[up/U Selection Probability]]) * 'General Info'!$B$44) - 1, 0)</f>
        <v>412.01272773076778</v>
      </c>
      <c r="AH268" s="100">
        <f>IF(ISNUMBER('General Info'!$B$42), (SamplingData[[#This Row],[Running (cumulative) sum]] * ('General Info'!$B$42 -'General Info'!$B$43 + 1)) + 'General Info'!$B$43 - 1, 0)</f>
        <v>54448.347258755653</v>
      </c>
      <c r="AI268" s="100" t="str">
        <f>IF(ISERROR(MATCH(SamplingData[[#This Row],[Batch by Type (p)]],SelectedPrecincts[Batch Name], 0)), "", INDEX(SelectedPrecincts[Draw], MATCH(SamplingData[[#This Row],[Batch by Type (p)]],SelectedPrecincts[Batch Name], 0)))</f>
        <v/>
      </c>
      <c r="AJ268" s="101">
        <f>IF(COUNTIF(SelectedPrecincts[Batch Name],SamplingData[[#This Row],[Batch by Type (p)]]) &lt;&gt; 0, COUNTIF(SelectedPrecincts[Batch Name],SamplingData[[#This Row],[Batch by Type (p)]]), 0)</f>
        <v>0</v>
      </c>
    </row>
    <row r="269" spans="1:36" ht="15" customHeight="1" x14ac:dyDescent="0.35">
      <c r="A269" s="98" t="s">
        <v>480</v>
      </c>
      <c r="B269" s="98">
        <v>36</v>
      </c>
      <c r="C269" s="98">
        <v>5</v>
      </c>
      <c r="D269" s="93">
        <v>1</v>
      </c>
      <c r="E269" s="93"/>
      <c r="F269" s="93"/>
      <c r="G269" s="97"/>
      <c r="H269" s="97"/>
      <c r="I269" s="93"/>
      <c r="J269" s="93"/>
      <c r="K269" s="93"/>
      <c r="L269" s="93"/>
      <c r="M269" s="93"/>
      <c r="N269" s="98">
        <v>0</v>
      </c>
      <c r="O269" s="98">
        <v>0</v>
      </c>
      <c r="P269" s="99">
        <f>SUM(SamplingData[[#This Row],[Winning Candidate]:[Under Votes]])</f>
        <v>42</v>
      </c>
      <c r="Q269" s="100">
        <f>IF(AND(SamplingData[[#This Row],[Total]]&lt;&gt; 0, NOT(ISBLANK(SamplingData[[#This Row],[Losing Candidate]]))),(SamplingData[[#This Row],[Total]]+SamplingData[[#This Row],[Winning Candidate]]-SamplingData[[#This Row],[Losing Candidate]])/(SamplingData[[#Totals],[Winning Candidate]]-SamplingData[[#Totals],[Losing Candidate]]), 0)</f>
        <v>4.6141204727893305E-3</v>
      </c>
      <c r="R269" s="100">
        <f>IF(AND(SamplingData[[#This Row],[Total]]&lt;&gt; 0, NOT(ISBLANK(SamplingData[[#This Row],[Candidate 3]]))),(SamplingData[[#This Row],[Total]]+SamplingData[[#This Row],[Winning Candidate]]-SamplingData[[#This Row],[Candidate 3]])/(SamplingData[[#Totals],[Winning Candidate]]-SamplingData[[#Totals],[Candidate 3]]), 0)</f>
        <v>4.3463535786859332E-3</v>
      </c>
      <c r="S269" s="100">
        <f>IF(AND(SamplingData[[#This Row],[Total]]&lt;&gt; 0, NOT(ISBLANK(SamplingData[[#This Row],[Candidate 4]]))),(SamplingData[[#This Row],[Total]]+SamplingData[[#This Row],[Winning Candidate]]-SamplingData[[#This Row],[Candidate 4]])/(SamplingData[[#Totals],[Winning Candidate]]-SamplingData[[#Totals],[Candidate 4]]), 0)</f>
        <v>0</v>
      </c>
      <c r="T269" s="100">
        <f>IF(AND(SamplingData[[#This Row],[Total]]&lt;&gt; 0, NOT(ISBLANK(SamplingData[[#This Row],[Candidate 5]]))),(SamplingData[[#This Row],[Total]]+SamplingData[[#This Row],[Winning Candidate]]-SamplingData[[#This Row],[Candidate 5]])/(SamplingData[[#Totals],[Winning Candidate]]-SamplingData[[#Totals],[Candidate 5]]), 0)</f>
        <v>0</v>
      </c>
      <c r="U269" s="100">
        <f>IF(AND(SamplingData[[#This Row],[Total]]&lt;&gt; 0, NOT(ISBLANK(SamplingData[[#This Row],[Candidate 6]]))),(SamplingData[[#This Row],[Total]]+SamplingData[[#This Row],[Losing Candidate]]-SamplingData[[#This Row],[Candidate 6]])/(SamplingData[[#Totals],[Winning Candidate]]-SamplingData[[#Totals],[Candidate 6]]), 0)</f>
        <v>0</v>
      </c>
      <c r="V269" s="100">
        <f>IF(AND(SamplingData[[#This Row],[Total]]&lt;&gt; 0, NOT(ISBLANK(SamplingData[[#This Row],[Candidate 7]]))),(SamplingData[[#This Row],[Total]]+SamplingData[[#This Row],[Winning Candidate]]-SamplingData[[#This Row],[Candidate 7]])/(SamplingData[[#Totals],[Winning Candidate]]-SamplingData[[#Totals],[Candidate 7]]), 0)</f>
        <v>0</v>
      </c>
      <c r="W269" s="100">
        <f>IF(AND(SamplingData[[#This Row],[Total]]&lt;&gt; 0, NOT(ISBLANK(SamplingData[[#This Row],[Candidate 8]]))),(SamplingData[[#This Row],[Total]]+SamplingData[[#This Row],[Winning Candidate]]-SamplingData[[#This Row],[Candidate 8]])/(SamplingData[[#Totals],[Winning Candidate]]-SamplingData[[#Totals],[Candidate 8]]), 0)</f>
        <v>0</v>
      </c>
      <c r="X2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9" s="100">
        <f>MAX(SamplingData[[#This Row],[Error Bound (up) - Max. possible relative overstatement - Losing Candidate]:[Error Bound (up) - Max. possible relative overstatement - Candidate 12]])</f>
        <v>4.6141204727893305E-3</v>
      </c>
      <c r="AC269" s="100">
        <f>IF(SamplingData[[#This Row],[Max Error Bound (up)]] = 0,0,SamplingData[[#This Row],[Max Error Bound (up)]]/SamplingData[[#Totals],[Max Error Bound (up)]])</f>
        <v>1.8726664052388848E-3</v>
      </c>
      <c r="AD269" s="104">
        <f>SUM($AC$5:AC269)</f>
        <v>0.5463661389927954</v>
      </c>
      <c r="AE269" s="100" t="str" cm="1">
        <f t="array" ref="AE269">IF(SamplingData[[#This Row],[up/U Selection Probability]] = 0, "Zero", TEXT(SamplingData[[#This Row],[Lower Range]], REPT("0",LEN('General Info'!$B$42))) &amp; " - " &amp; TEXT(SamplingData[[#This Row],[Upper Range]], REPT("0",LEN('General Info'!$B$42))))</f>
        <v>54449 - 54636</v>
      </c>
      <c r="AF269" s="100">
        <f>SamplingData[[#This Row],[Upper Range]]-SamplingData[[#This Row],[Span]]</f>
        <v>54449.347258755653</v>
      </c>
      <c r="AG269" s="100">
        <f>IF(ISNUMBER('General Info'!$B$42), ((SamplingData[[#This Row],[up/U Selection Probability]]) * 'General Info'!$B$44) - 1, 0)</f>
        <v>186.26664052388847</v>
      </c>
      <c r="AH269" s="100">
        <f>IF(ISNUMBER('General Info'!$B$42), (SamplingData[[#This Row],[Running (cumulative) sum]] * ('General Info'!$B$42 -'General Info'!$B$43 + 1)) + 'General Info'!$B$43 - 1, 0)</f>
        <v>54635.613899279539</v>
      </c>
      <c r="AI269" s="100" t="str">
        <f>IF(ISERROR(MATCH(SamplingData[[#This Row],[Batch by Type (p)]],SelectedPrecincts[Batch Name], 0)), "", INDEX(SelectedPrecincts[Draw], MATCH(SamplingData[[#This Row],[Batch by Type (p)]],SelectedPrecincts[Batch Name], 0)))</f>
        <v/>
      </c>
      <c r="AJ269" s="101">
        <f>IF(COUNTIF(SelectedPrecincts[Batch Name],SamplingData[[#This Row],[Batch by Type (p)]]) &lt;&gt; 0, COUNTIF(SelectedPrecincts[Batch Name],SamplingData[[#This Row],[Batch by Type (p)]]), 0)</f>
        <v>0</v>
      </c>
    </row>
    <row r="270" spans="1:36" ht="15" customHeight="1" x14ac:dyDescent="0.35">
      <c r="A270" s="98" t="s">
        <v>481</v>
      </c>
      <c r="B270" s="98">
        <v>17</v>
      </c>
      <c r="C270" s="98">
        <v>0</v>
      </c>
      <c r="D270" s="93">
        <v>3</v>
      </c>
      <c r="E270" s="93"/>
      <c r="F270" s="93"/>
      <c r="G270" s="97"/>
      <c r="H270" s="97"/>
      <c r="I270" s="93"/>
      <c r="J270" s="93"/>
      <c r="K270" s="93"/>
      <c r="L270" s="93"/>
      <c r="M270" s="93"/>
      <c r="N270" s="98">
        <v>0</v>
      </c>
      <c r="O270" s="98">
        <v>1</v>
      </c>
      <c r="P270" s="99">
        <f>SUM(SamplingData[[#This Row],[Winning Candidate]:[Under Votes]])</f>
        <v>21</v>
      </c>
      <c r="Q270" s="100">
        <f>IF(AND(SamplingData[[#This Row],[Total]]&lt;&gt; 0, NOT(ISBLANK(SamplingData[[#This Row],[Losing Candidate]]))),(SamplingData[[#This Row],[Total]]+SamplingData[[#This Row],[Winning Candidate]]-SamplingData[[#This Row],[Losing Candidate]])/(SamplingData[[#Totals],[Winning Candidate]]-SamplingData[[#Totals],[Losing Candidate]]), 0)</f>
        <v>2.4018709310410216E-3</v>
      </c>
      <c r="R270" s="100">
        <f>IF(AND(SamplingData[[#This Row],[Total]]&lt;&gt; 0, NOT(ISBLANK(SamplingData[[#This Row],[Candidate 3]]))),(SamplingData[[#This Row],[Total]]+SamplingData[[#This Row],[Winning Candidate]]-SamplingData[[#This Row],[Candidate 3]])/(SamplingData[[#Totals],[Winning Candidate]]-SamplingData[[#Totals],[Candidate 3]]), 0)</f>
        <v>1.9756152630390606E-3</v>
      </c>
      <c r="S270" s="100">
        <f>IF(AND(SamplingData[[#This Row],[Total]]&lt;&gt; 0, NOT(ISBLANK(SamplingData[[#This Row],[Candidate 4]]))),(SamplingData[[#This Row],[Total]]+SamplingData[[#This Row],[Winning Candidate]]-SamplingData[[#This Row],[Candidate 4]])/(SamplingData[[#Totals],[Winning Candidate]]-SamplingData[[#Totals],[Candidate 4]]), 0)</f>
        <v>0</v>
      </c>
      <c r="T270" s="100">
        <f>IF(AND(SamplingData[[#This Row],[Total]]&lt;&gt; 0, NOT(ISBLANK(SamplingData[[#This Row],[Candidate 5]]))),(SamplingData[[#This Row],[Total]]+SamplingData[[#This Row],[Winning Candidate]]-SamplingData[[#This Row],[Candidate 5]])/(SamplingData[[#Totals],[Winning Candidate]]-SamplingData[[#Totals],[Candidate 5]]), 0)</f>
        <v>0</v>
      </c>
      <c r="U270" s="100">
        <f>IF(AND(SamplingData[[#This Row],[Total]]&lt;&gt; 0, NOT(ISBLANK(SamplingData[[#This Row],[Candidate 6]]))),(SamplingData[[#This Row],[Total]]+SamplingData[[#This Row],[Losing Candidate]]-SamplingData[[#This Row],[Candidate 6]])/(SamplingData[[#Totals],[Winning Candidate]]-SamplingData[[#Totals],[Candidate 6]]), 0)</f>
        <v>0</v>
      </c>
      <c r="V270" s="100">
        <f>IF(AND(SamplingData[[#This Row],[Total]]&lt;&gt; 0, NOT(ISBLANK(SamplingData[[#This Row],[Candidate 7]]))),(SamplingData[[#This Row],[Total]]+SamplingData[[#This Row],[Winning Candidate]]-SamplingData[[#This Row],[Candidate 7]])/(SamplingData[[#Totals],[Winning Candidate]]-SamplingData[[#Totals],[Candidate 7]]), 0)</f>
        <v>0</v>
      </c>
      <c r="W270" s="100">
        <f>IF(AND(SamplingData[[#This Row],[Total]]&lt;&gt; 0, NOT(ISBLANK(SamplingData[[#This Row],[Candidate 8]]))),(SamplingData[[#This Row],[Total]]+SamplingData[[#This Row],[Winning Candidate]]-SamplingData[[#This Row],[Candidate 8]])/(SamplingData[[#Totals],[Winning Candidate]]-SamplingData[[#Totals],[Candidate 8]]), 0)</f>
        <v>0</v>
      </c>
      <c r="X2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0" s="100">
        <f>MAX(SamplingData[[#This Row],[Error Bound (up) - Max. possible relative overstatement - Losing Candidate]:[Error Bound (up) - Max. possible relative overstatement - Candidate 12]])</f>
        <v>2.4018709310410216E-3</v>
      </c>
      <c r="AC270" s="100">
        <f>IF(SamplingData[[#This Row],[Max Error Bound (up)]] = 0,0,SamplingData[[#This Row],[Max Error Bound (up)]]/SamplingData[[#Totals],[Max Error Bound (up)]])</f>
        <v>9.7481264930243325E-4</v>
      </c>
      <c r="AD270" s="104">
        <f>SUM($AC$5:AC270)</f>
        <v>0.54734095164209784</v>
      </c>
      <c r="AE270" s="100" t="str" cm="1">
        <f t="array" ref="AE270">IF(SamplingData[[#This Row],[up/U Selection Probability]] = 0, "Zero", TEXT(SamplingData[[#This Row],[Lower Range]], REPT("0",LEN('General Info'!$B$42))) &amp; " - " &amp; TEXT(SamplingData[[#This Row],[Upper Range]], REPT("0",LEN('General Info'!$B$42))))</f>
        <v>54637 - 54733</v>
      </c>
      <c r="AF270" s="100">
        <f>SamplingData[[#This Row],[Upper Range]]-SamplingData[[#This Row],[Span]]</f>
        <v>54636.613899279546</v>
      </c>
      <c r="AG270" s="100">
        <f>IF(ISNUMBER('General Info'!$B$42), ((SamplingData[[#This Row],[up/U Selection Probability]]) * 'General Info'!$B$44) - 1, 0)</f>
        <v>96.481264930243327</v>
      </c>
      <c r="AH270" s="100">
        <f>IF(ISNUMBER('General Info'!$B$42), (SamplingData[[#This Row],[Running (cumulative) sum]] * ('General Info'!$B$42 -'General Info'!$B$43 + 1)) + 'General Info'!$B$43 - 1, 0)</f>
        <v>54733.095164209786</v>
      </c>
      <c r="AI270" s="100" t="str">
        <f>IF(ISERROR(MATCH(SamplingData[[#This Row],[Batch by Type (p)]],SelectedPrecincts[Batch Name], 0)), "", INDEX(SelectedPrecincts[Draw], MATCH(SamplingData[[#This Row],[Batch by Type (p)]],SelectedPrecincts[Batch Name], 0)))</f>
        <v/>
      </c>
      <c r="AJ270" s="101">
        <f>IF(COUNTIF(SelectedPrecincts[Batch Name],SamplingData[[#This Row],[Batch by Type (p)]]) &lt;&gt; 0, COUNTIF(SelectedPrecincts[Batch Name],SamplingData[[#This Row],[Batch by Type (p)]]), 0)</f>
        <v>0</v>
      </c>
    </row>
    <row r="271" spans="1:36" ht="15" customHeight="1" x14ac:dyDescent="0.35">
      <c r="A271" s="98" t="s">
        <v>482</v>
      </c>
      <c r="B271" s="98">
        <v>50</v>
      </c>
      <c r="C271" s="98">
        <v>4</v>
      </c>
      <c r="D271" s="93">
        <v>3</v>
      </c>
      <c r="E271" s="93"/>
      <c r="F271" s="93"/>
      <c r="G271" s="97"/>
      <c r="H271" s="97"/>
      <c r="I271" s="93"/>
      <c r="J271" s="93"/>
      <c r="K271" s="93"/>
      <c r="L271" s="93"/>
      <c r="M271" s="93"/>
      <c r="N271" s="98">
        <v>0</v>
      </c>
      <c r="O271" s="98">
        <v>0</v>
      </c>
      <c r="P271" s="99">
        <f>SUM(SamplingData[[#This Row],[Winning Candidate]:[Under Votes]])</f>
        <v>57</v>
      </c>
      <c r="Q271" s="100">
        <f>IF(AND(SamplingData[[#This Row],[Total]]&lt;&gt; 0, NOT(ISBLANK(SamplingData[[#This Row],[Losing Candidate]]))),(SamplingData[[#This Row],[Total]]+SamplingData[[#This Row],[Winning Candidate]]-SamplingData[[#This Row],[Losing Candidate]])/(SamplingData[[#Totals],[Winning Candidate]]-SamplingData[[#Totals],[Losing Candidate]]), 0)</f>
        <v>6.5103343657164532E-3</v>
      </c>
      <c r="R271" s="100">
        <f>IF(AND(SamplingData[[#This Row],[Total]]&lt;&gt; 0, NOT(ISBLANK(SamplingData[[#This Row],[Candidate 3]]))),(SamplingData[[#This Row],[Total]]+SamplingData[[#This Row],[Winning Candidate]]-SamplingData[[#This Row],[Candidate 3]])/(SamplingData[[#Totals],[Winning Candidate]]-SamplingData[[#Totals],[Candidate 3]]), 0)</f>
        <v>5.870399638744638E-3</v>
      </c>
      <c r="S271" s="100">
        <f>IF(AND(SamplingData[[#This Row],[Total]]&lt;&gt; 0, NOT(ISBLANK(SamplingData[[#This Row],[Candidate 4]]))),(SamplingData[[#This Row],[Total]]+SamplingData[[#This Row],[Winning Candidate]]-SamplingData[[#This Row],[Candidate 4]])/(SamplingData[[#Totals],[Winning Candidate]]-SamplingData[[#Totals],[Candidate 4]]), 0)</f>
        <v>0</v>
      </c>
      <c r="T271" s="100">
        <f>IF(AND(SamplingData[[#This Row],[Total]]&lt;&gt; 0, NOT(ISBLANK(SamplingData[[#This Row],[Candidate 5]]))),(SamplingData[[#This Row],[Total]]+SamplingData[[#This Row],[Winning Candidate]]-SamplingData[[#This Row],[Candidate 5]])/(SamplingData[[#Totals],[Winning Candidate]]-SamplingData[[#Totals],[Candidate 5]]), 0)</f>
        <v>0</v>
      </c>
      <c r="U271" s="100">
        <f>IF(AND(SamplingData[[#This Row],[Total]]&lt;&gt; 0, NOT(ISBLANK(SamplingData[[#This Row],[Candidate 6]]))),(SamplingData[[#This Row],[Total]]+SamplingData[[#This Row],[Losing Candidate]]-SamplingData[[#This Row],[Candidate 6]])/(SamplingData[[#Totals],[Winning Candidate]]-SamplingData[[#Totals],[Candidate 6]]), 0)</f>
        <v>0</v>
      </c>
      <c r="V271" s="100">
        <f>IF(AND(SamplingData[[#This Row],[Total]]&lt;&gt; 0, NOT(ISBLANK(SamplingData[[#This Row],[Candidate 7]]))),(SamplingData[[#This Row],[Total]]+SamplingData[[#This Row],[Winning Candidate]]-SamplingData[[#This Row],[Candidate 7]])/(SamplingData[[#Totals],[Winning Candidate]]-SamplingData[[#Totals],[Candidate 7]]), 0)</f>
        <v>0</v>
      </c>
      <c r="W271" s="100">
        <f>IF(AND(SamplingData[[#This Row],[Total]]&lt;&gt; 0, NOT(ISBLANK(SamplingData[[#This Row],[Candidate 8]]))),(SamplingData[[#This Row],[Total]]+SamplingData[[#This Row],[Winning Candidate]]-SamplingData[[#This Row],[Candidate 8]])/(SamplingData[[#Totals],[Winning Candidate]]-SamplingData[[#Totals],[Candidate 8]]), 0)</f>
        <v>0</v>
      </c>
      <c r="X2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1" s="100">
        <f>MAX(SamplingData[[#This Row],[Error Bound (up) - Max. possible relative overstatement - Losing Candidate]:[Error Bound (up) - Max. possible relative overstatement - Candidate 12]])</f>
        <v>6.5103343657164532E-3</v>
      </c>
      <c r="AC271" s="100">
        <f>IF(SamplingData[[#This Row],[Max Error Bound (up)]] = 0,0,SamplingData[[#This Row],[Max Error Bound (up)]]/SamplingData[[#Totals],[Max Error Bound (up)]])</f>
        <v>2.6422553388987008E-3</v>
      </c>
      <c r="AD271" s="104">
        <f>SUM($AC$5:AC271)</f>
        <v>0.54998320698099656</v>
      </c>
      <c r="AE271" s="100" t="str" cm="1">
        <f t="array" ref="AE271">IF(SamplingData[[#This Row],[up/U Selection Probability]] = 0, "Zero", TEXT(SamplingData[[#This Row],[Lower Range]], REPT("0",LEN('General Info'!$B$42))) &amp; " - " &amp; TEXT(SamplingData[[#This Row],[Upper Range]], REPT("0",LEN('General Info'!$B$42))))</f>
        <v>54734 - 54997</v>
      </c>
      <c r="AF271" s="100">
        <f>SamplingData[[#This Row],[Upper Range]]-SamplingData[[#This Row],[Span]]</f>
        <v>54734.095164209786</v>
      </c>
      <c r="AG271" s="100">
        <f>IF(ISNUMBER('General Info'!$B$42), ((SamplingData[[#This Row],[up/U Selection Probability]]) * 'General Info'!$B$44) - 1, 0)</f>
        <v>263.22553388987006</v>
      </c>
      <c r="AH271" s="100">
        <f>IF(ISNUMBER('General Info'!$B$42), (SamplingData[[#This Row],[Running (cumulative) sum]] * ('General Info'!$B$42 -'General Info'!$B$43 + 1)) + 'General Info'!$B$43 - 1, 0)</f>
        <v>54997.320698099655</v>
      </c>
      <c r="AI271" s="100" t="str">
        <f>IF(ISERROR(MATCH(SamplingData[[#This Row],[Batch by Type (p)]],SelectedPrecincts[Batch Name], 0)), "", INDEX(SelectedPrecincts[Draw], MATCH(SamplingData[[#This Row],[Batch by Type (p)]],SelectedPrecincts[Batch Name], 0)))</f>
        <v/>
      </c>
      <c r="AJ271" s="101">
        <f>IF(COUNTIF(SelectedPrecincts[Batch Name],SamplingData[[#This Row],[Batch by Type (p)]]) &lt;&gt; 0, COUNTIF(SelectedPrecincts[Batch Name],SamplingData[[#This Row],[Batch by Type (p)]]), 0)</f>
        <v>0</v>
      </c>
    </row>
    <row r="272" spans="1:36" ht="15" customHeight="1" x14ac:dyDescent="0.35">
      <c r="A272" s="98" t="s">
        <v>483</v>
      </c>
      <c r="B272" s="98">
        <v>26</v>
      </c>
      <c r="C272" s="98">
        <v>2</v>
      </c>
      <c r="D272" s="93">
        <v>2</v>
      </c>
      <c r="E272" s="93"/>
      <c r="F272" s="93"/>
      <c r="G272" s="97"/>
      <c r="H272" s="97"/>
      <c r="I272" s="93"/>
      <c r="J272" s="93"/>
      <c r="K272" s="93"/>
      <c r="L272" s="93"/>
      <c r="M272" s="93"/>
      <c r="N272" s="98">
        <v>0</v>
      </c>
      <c r="O272" s="98">
        <v>0</v>
      </c>
      <c r="P272" s="99">
        <f>SUM(SamplingData[[#This Row],[Winning Candidate]:[Under Votes]])</f>
        <v>30</v>
      </c>
      <c r="Q272" s="100">
        <f>IF(AND(SamplingData[[#This Row],[Total]]&lt;&gt; 0, NOT(ISBLANK(SamplingData[[#This Row],[Losing Candidate]]))),(SamplingData[[#This Row],[Total]]+SamplingData[[#This Row],[Winning Candidate]]-SamplingData[[#This Row],[Losing Candidate]])/(SamplingData[[#Totals],[Winning Candidate]]-SamplingData[[#Totals],[Losing Candidate]]), 0)</f>
        <v>3.4131850072688201E-3</v>
      </c>
      <c r="R272" s="100">
        <f>IF(AND(SamplingData[[#This Row],[Total]]&lt;&gt; 0, NOT(ISBLANK(SamplingData[[#This Row],[Candidate 3]]))),(SamplingData[[#This Row],[Total]]+SamplingData[[#This Row],[Winning Candidate]]-SamplingData[[#This Row],[Candidate 3]])/(SamplingData[[#Totals],[Winning Candidate]]-SamplingData[[#Totals],[Candidate 3]]), 0)</f>
        <v>3.0480921201174078E-3</v>
      </c>
      <c r="S272" s="100">
        <f>IF(AND(SamplingData[[#This Row],[Total]]&lt;&gt; 0, NOT(ISBLANK(SamplingData[[#This Row],[Candidate 4]]))),(SamplingData[[#This Row],[Total]]+SamplingData[[#This Row],[Winning Candidate]]-SamplingData[[#This Row],[Candidate 4]])/(SamplingData[[#Totals],[Winning Candidate]]-SamplingData[[#Totals],[Candidate 4]]), 0)</f>
        <v>0</v>
      </c>
      <c r="T272" s="100">
        <f>IF(AND(SamplingData[[#This Row],[Total]]&lt;&gt; 0, NOT(ISBLANK(SamplingData[[#This Row],[Candidate 5]]))),(SamplingData[[#This Row],[Total]]+SamplingData[[#This Row],[Winning Candidate]]-SamplingData[[#This Row],[Candidate 5]])/(SamplingData[[#Totals],[Winning Candidate]]-SamplingData[[#Totals],[Candidate 5]]), 0)</f>
        <v>0</v>
      </c>
      <c r="U272" s="100">
        <f>IF(AND(SamplingData[[#This Row],[Total]]&lt;&gt; 0, NOT(ISBLANK(SamplingData[[#This Row],[Candidate 6]]))),(SamplingData[[#This Row],[Total]]+SamplingData[[#This Row],[Losing Candidate]]-SamplingData[[#This Row],[Candidate 6]])/(SamplingData[[#Totals],[Winning Candidate]]-SamplingData[[#Totals],[Candidate 6]]), 0)</f>
        <v>0</v>
      </c>
      <c r="V272" s="100">
        <f>IF(AND(SamplingData[[#This Row],[Total]]&lt;&gt; 0, NOT(ISBLANK(SamplingData[[#This Row],[Candidate 7]]))),(SamplingData[[#This Row],[Total]]+SamplingData[[#This Row],[Winning Candidate]]-SamplingData[[#This Row],[Candidate 7]])/(SamplingData[[#Totals],[Winning Candidate]]-SamplingData[[#Totals],[Candidate 7]]), 0)</f>
        <v>0</v>
      </c>
      <c r="W272" s="100">
        <f>IF(AND(SamplingData[[#This Row],[Total]]&lt;&gt; 0, NOT(ISBLANK(SamplingData[[#This Row],[Candidate 8]]))),(SamplingData[[#This Row],[Total]]+SamplingData[[#This Row],[Winning Candidate]]-SamplingData[[#This Row],[Candidate 8]])/(SamplingData[[#Totals],[Winning Candidate]]-SamplingData[[#Totals],[Candidate 8]]), 0)</f>
        <v>0</v>
      </c>
      <c r="X2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2" s="100">
        <f>MAX(SamplingData[[#This Row],[Error Bound (up) - Max. possible relative overstatement - Losing Candidate]:[Error Bound (up) - Max. possible relative overstatement - Candidate 12]])</f>
        <v>3.4131850072688201E-3</v>
      </c>
      <c r="AC272" s="100">
        <f>IF(SamplingData[[#This Row],[Max Error Bound (up)]] = 0,0,SamplingData[[#This Row],[Max Error Bound (up)]]/SamplingData[[#Totals],[Max Error Bound (up)]])</f>
        <v>1.3852600805876682E-3</v>
      </c>
      <c r="AD272" s="104">
        <f>SUM($AC$5:AC272)</f>
        <v>0.55136846706158427</v>
      </c>
      <c r="AE272" s="100" t="str" cm="1">
        <f t="array" ref="AE272">IF(SamplingData[[#This Row],[up/U Selection Probability]] = 0, "Zero", TEXT(SamplingData[[#This Row],[Lower Range]], REPT("0",LEN('General Info'!$B$42))) &amp; " - " &amp; TEXT(SamplingData[[#This Row],[Upper Range]], REPT("0",LEN('General Info'!$B$42))))</f>
        <v>54998 - 55136</v>
      </c>
      <c r="AF272" s="100">
        <f>SamplingData[[#This Row],[Upper Range]]-SamplingData[[#This Row],[Span]]</f>
        <v>54998.320698099655</v>
      </c>
      <c r="AG272" s="100">
        <f>IF(ISNUMBER('General Info'!$B$42), ((SamplingData[[#This Row],[up/U Selection Probability]]) * 'General Info'!$B$44) - 1, 0)</f>
        <v>137.52600805876682</v>
      </c>
      <c r="AH272" s="100">
        <f>IF(ISNUMBER('General Info'!$B$42), (SamplingData[[#This Row],[Running (cumulative) sum]] * ('General Info'!$B$42 -'General Info'!$B$43 + 1)) + 'General Info'!$B$43 - 1, 0)</f>
        <v>55135.846706158423</v>
      </c>
      <c r="AI272" s="100" t="str">
        <f>IF(ISERROR(MATCH(SamplingData[[#This Row],[Batch by Type (p)]],SelectedPrecincts[Batch Name], 0)), "", INDEX(SelectedPrecincts[Draw], MATCH(SamplingData[[#This Row],[Batch by Type (p)]],SelectedPrecincts[Batch Name], 0)))</f>
        <v/>
      </c>
      <c r="AJ272" s="101">
        <f>IF(COUNTIF(SelectedPrecincts[Batch Name],SamplingData[[#This Row],[Batch by Type (p)]]) &lt;&gt; 0, COUNTIF(SelectedPrecincts[Batch Name],SamplingData[[#This Row],[Batch by Type (p)]]), 0)</f>
        <v>0</v>
      </c>
    </row>
    <row r="273" spans="1:36" ht="15" customHeight="1" x14ac:dyDescent="0.35">
      <c r="A273" s="98" t="s">
        <v>484</v>
      </c>
      <c r="B273" s="98">
        <v>1</v>
      </c>
      <c r="C273" s="98">
        <v>0</v>
      </c>
      <c r="D273" s="93">
        <v>0</v>
      </c>
      <c r="E273" s="93"/>
      <c r="F273" s="93"/>
      <c r="G273" s="97"/>
      <c r="H273" s="97"/>
      <c r="I273" s="93"/>
      <c r="J273" s="93"/>
      <c r="K273" s="93"/>
      <c r="L273" s="93"/>
      <c r="M273" s="93"/>
      <c r="N273" s="98">
        <v>0</v>
      </c>
      <c r="O273" s="98">
        <v>0</v>
      </c>
      <c r="P273" s="99">
        <f>SUM(SamplingData[[#This Row],[Winning Candidate]:[Under Votes]])</f>
        <v>1</v>
      </c>
      <c r="Q273"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273" s="100">
        <f>IF(AND(SamplingData[[#This Row],[Total]]&lt;&gt; 0, NOT(ISBLANK(SamplingData[[#This Row],[Candidate 3]]))),(SamplingData[[#This Row],[Total]]+SamplingData[[#This Row],[Winning Candidate]]-SamplingData[[#This Row],[Candidate 3]])/(SamplingData[[#Totals],[Winning Candidate]]-SamplingData[[#Totals],[Candidate 3]]), 0)</f>
        <v>1.1289230074508918E-4</v>
      </c>
      <c r="S273" s="100">
        <f>IF(AND(SamplingData[[#This Row],[Total]]&lt;&gt; 0, NOT(ISBLANK(SamplingData[[#This Row],[Candidate 4]]))),(SamplingData[[#This Row],[Total]]+SamplingData[[#This Row],[Winning Candidate]]-SamplingData[[#This Row],[Candidate 4]])/(SamplingData[[#Totals],[Winning Candidate]]-SamplingData[[#Totals],[Candidate 4]]), 0)</f>
        <v>0</v>
      </c>
      <c r="T273" s="100">
        <f>IF(AND(SamplingData[[#This Row],[Total]]&lt;&gt; 0, NOT(ISBLANK(SamplingData[[#This Row],[Candidate 5]]))),(SamplingData[[#This Row],[Total]]+SamplingData[[#This Row],[Winning Candidate]]-SamplingData[[#This Row],[Candidate 5]])/(SamplingData[[#Totals],[Winning Candidate]]-SamplingData[[#Totals],[Candidate 5]]), 0)</f>
        <v>0</v>
      </c>
      <c r="U273" s="100">
        <f>IF(AND(SamplingData[[#This Row],[Total]]&lt;&gt; 0, NOT(ISBLANK(SamplingData[[#This Row],[Candidate 6]]))),(SamplingData[[#This Row],[Total]]+SamplingData[[#This Row],[Losing Candidate]]-SamplingData[[#This Row],[Candidate 6]])/(SamplingData[[#Totals],[Winning Candidate]]-SamplingData[[#Totals],[Candidate 6]]), 0)</f>
        <v>0</v>
      </c>
      <c r="V273" s="100">
        <f>IF(AND(SamplingData[[#This Row],[Total]]&lt;&gt; 0, NOT(ISBLANK(SamplingData[[#This Row],[Candidate 7]]))),(SamplingData[[#This Row],[Total]]+SamplingData[[#This Row],[Winning Candidate]]-SamplingData[[#This Row],[Candidate 7]])/(SamplingData[[#Totals],[Winning Candidate]]-SamplingData[[#Totals],[Candidate 7]]), 0)</f>
        <v>0</v>
      </c>
      <c r="W273" s="100">
        <f>IF(AND(SamplingData[[#This Row],[Total]]&lt;&gt; 0, NOT(ISBLANK(SamplingData[[#This Row],[Candidate 8]]))),(SamplingData[[#This Row],[Total]]+SamplingData[[#This Row],[Winning Candidate]]-SamplingData[[#This Row],[Candidate 8]])/(SamplingData[[#Totals],[Winning Candidate]]-SamplingData[[#Totals],[Candidate 8]]), 0)</f>
        <v>0</v>
      </c>
      <c r="X2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3" s="100">
        <f>MAX(SamplingData[[#This Row],[Error Bound (up) - Max. possible relative overstatement - Losing Candidate]:[Error Bound (up) - Max. possible relative overstatement - Candidate 12]])</f>
        <v>1.2641425952847481E-4</v>
      </c>
      <c r="AC273" s="100">
        <f>IF(SamplingData[[#This Row],[Max Error Bound (up)]] = 0,0,SamplingData[[#This Row],[Max Error Bound (up)]]/SamplingData[[#Totals],[Max Error Bound (up)]])</f>
        <v>5.1305928910654381E-5</v>
      </c>
      <c r="AD273" s="104">
        <f>SUM($AC$5:AC273)</f>
        <v>0.55141977299049494</v>
      </c>
      <c r="AE273" s="100" t="str" cm="1">
        <f t="array" ref="AE273">IF(SamplingData[[#This Row],[up/U Selection Probability]] = 0, "Zero", TEXT(SamplingData[[#This Row],[Lower Range]], REPT("0",LEN('General Info'!$B$42))) &amp; " - " &amp; TEXT(SamplingData[[#This Row],[Upper Range]], REPT("0",LEN('General Info'!$B$42))))</f>
        <v>55137 - 55141</v>
      </c>
      <c r="AF273" s="100">
        <f>SamplingData[[#This Row],[Upper Range]]-SamplingData[[#This Row],[Span]]</f>
        <v>55136.846706158431</v>
      </c>
      <c r="AG273" s="100">
        <f>IF(ISNUMBER('General Info'!$B$42), ((SamplingData[[#This Row],[up/U Selection Probability]]) * 'General Info'!$B$44) - 1, 0)</f>
        <v>4.1305928910654384</v>
      </c>
      <c r="AH273" s="100">
        <f>IF(ISNUMBER('General Info'!$B$42), (SamplingData[[#This Row],[Running (cumulative) sum]] * ('General Info'!$B$42 -'General Info'!$B$43 + 1)) + 'General Info'!$B$43 - 1, 0)</f>
        <v>55140.977299049497</v>
      </c>
      <c r="AI273" s="100" t="str">
        <f>IF(ISERROR(MATCH(SamplingData[[#This Row],[Batch by Type (p)]],SelectedPrecincts[Batch Name], 0)), "", INDEX(SelectedPrecincts[Draw], MATCH(SamplingData[[#This Row],[Batch by Type (p)]],SelectedPrecincts[Batch Name], 0)))</f>
        <v/>
      </c>
      <c r="AJ273" s="101">
        <f>IF(COUNTIF(SelectedPrecincts[Batch Name],SamplingData[[#This Row],[Batch by Type (p)]]) &lt;&gt; 0, COUNTIF(SelectedPrecincts[Batch Name],SamplingData[[#This Row],[Batch by Type (p)]]), 0)</f>
        <v>0</v>
      </c>
    </row>
    <row r="274" spans="1:36" ht="15" customHeight="1" x14ac:dyDescent="0.35">
      <c r="A274" s="98" t="s">
        <v>485</v>
      </c>
      <c r="B274" s="98">
        <v>36</v>
      </c>
      <c r="C274" s="98">
        <v>0</v>
      </c>
      <c r="D274" s="93">
        <v>0</v>
      </c>
      <c r="E274" s="93"/>
      <c r="F274" s="93"/>
      <c r="G274" s="97"/>
      <c r="H274" s="97"/>
      <c r="I274" s="93"/>
      <c r="J274" s="93"/>
      <c r="K274" s="93"/>
      <c r="L274" s="93"/>
      <c r="M274" s="93"/>
      <c r="N274" s="98">
        <v>0</v>
      </c>
      <c r="O274" s="98">
        <v>1</v>
      </c>
      <c r="P274" s="99">
        <f>SUM(SamplingData[[#This Row],[Winning Candidate]:[Under Votes]])</f>
        <v>37</v>
      </c>
      <c r="Q274" s="100">
        <f>IF(AND(SamplingData[[#This Row],[Total]]&lt;&gt; 0, NOT(ISBLANK(SamplingData[[#This Row],[Losing Candidate]]))),(SamplingData[[#This Row],[Total]]+SamplingData[[#This Row],[Winning Candidate]]-SamplingData[[#This Row],[Losing Candidate]])/(SamplingData[[#Totals],[Winning Candidate]]-SamplingData[[#Totals],[Losing Candidate]]), 0)</f>
        <v>4.6141204727893305E-3</v>
      </c>
      <c r="R274" s="100">
        <f>IF(AND(SamplingData[[#This Row],[Total]]&lt;&gt; 0, NOT(ISBLANK(SamplingData[[#This Row],[Candidate 3]]))),(SamplingData[[#This Row],[Total]]+SamplingData[[#This Row],[Winning Candidate]]-SamplingData[[#This Row],[Candidate 3]])/(SamplingData[[#Totals],[Winning Candidate]]-SamplingData[[#Totals],[Candidate 3]]), 0)</f>
        <v>4.1205689771957555E-3</v>
      </c>
      <c r="S274" s="100">
        <f>IF(AND(SamplingData[[#This Row],[Total]]&lt;&gt; 0, NOT(ISBLANK(SamplingData[[#This Row],[Candidate 4]]))),(SamplingData[[#This Row],[Total]]+SamplingData[[#This Row],[Winning Candidate]]-SamplingData[[#This Row],[Candidate 4]])/(SamplingData[[#Totals],[Winning Candidate]]-SamplingData[[#Totals],[Candidate 4]]), 0)</f>
        <v>0</v>
      </c>
      <c r="T274" s="100">
        <f>IF(AND(SamplingData[[#This Row],[Total]]&lt;&gt; 0, NOT(ISBLANK(SamplingData[[#This Row],[Candidate 5]]))),(SamplingData[[#This Row],[Total]]+SamplingData[[#This Row],[Winning Candidate]]-SamplingData[[#This Row],[Candidate 5]])/(SamplingData[[#Totals],[Winning Candidate]]-SamplingData[[#Totals],[Candidate 5]]), 0)</f>
        <v>0</v>
      </c>
      <c r="U274" s="100">
        <f>IF(AND(SamplingData[[#This Row],[Total]]&lt;&gt; 0, NOT(ISBLANK(SamplingData[[#This Row],[Candidate 6]]))),(SamplingData[[#This Row],[Total]]+SamplingData[[#This Row],[Losing Candidate]]-SamplingData[[#This Row],[Candidate 6]])/(SamplingData[[#Totals],[Winning Candidate]]-SamplingData[[#Totals],[Candidate 6]]), 0)</f>
        <v>0</v>
      </c>
      <c r="V274" s="100">
        <f>IF(AND(SamplingData[[#This Row],[Total]]&lt;&gt; 0, NOT(ISBLANK(SamplingData[[#This Row],[Candidate 7]]))),(SamplingData[[#This Row],[Total]]+SamplingData[[#This Row],[Winning Candidate]]-SamplingData[[#This Row],[Candidate 7]])/(SamplingData[[#Totals],[Winning Candidate]]-SamplingData[[#Totals],[Candidate 7]]), 0)</f>
        <v>0</v>
      </c>
      <c r="W274" s="100">
        <f>IF(AND(SamplingData[[#This Row],[Total]]&lt;&gt; 0, NOT(ISBLANK(SamplingData[[#This Row],[Candidate 8]]))),(SamplingData[[#This Row],[Total]]+SamplingData[[#This Row],[Winning Candidate]]-SamplingData[[#This Row],[Candidate 8]])/(SamplingData[[#Totals],[Winning Candidate]]-SamplingData[[#Totals],[Candidate 8]]), 0)</f>
        <v>0</v>
      </c>
      <c r="X2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4" s="100">
        <f>MAX(SamplingData[[#This Row],[Error Bound (up) - Max. possible relative overstatement - Losing Candidate]:[Error Bound (up) - Max. possible relative overstatement - Candidate 12]])</f>
        <v>4.6141204727893305E-3</v>
      </c>
      <c r="AC274" s="100">
        <f>IF(SamplingData[[#This Row],[Max Error Bound (up)]] = 0,0,SamplingData[[#This Row],[Max Error Bound (up)]]/SamplingData[[#Totals],[Max Error Bound (up)]])</f>
        <v>1.8726664052388848E-3</v>
      </c>
      <c r="AD274" s="104">
        <f>SUM($AC$5:AC274)</f>
        <v>0.5532924393957338</v>
      </c>
      <c r="AE274" s="100" t="str" cm="1">
        <f t="array" ref="AE274">IF(SamplingData[[#This Row],[up/U Selection Probability]] = 0, "Zero", TEXT(SamplingData[[#This Row],[Lower Range]], REPT("0",LEN('General Info'!$B$42))) &amp; " - " &amp; TEXT(SamplingData[[#This Row],[Upper Range]], REPT("0",LEN('General Info'!$B$42))))</f>
        <v>55142 - 55328</v>
      </c>
      <c r="AF274" s="100">
        <f>SamplingData[[#This Row],[Upper Range]]-SamplingData[[#This Row],[Span]]</f>
        <v>55141.977299049497</v>
      </c>
      <c r="AG274" s="100">
        <f>IF(ISNUMBER('General Info'!$B$42), ((SamplingData[[#This Row],[up/U Selection Probability]]) * 'General Info'!$B$44) - 1, 0)</f>
        <v>186.26664052388847</v>
      </c>
      <c r="AH274" s="100">
        <f>IF(ISNUMBER('General Info'!$B$42), (SamplingData[[#This Row],[Running (cumulative) sum]] * ('General Info'!$B$42 -'General Info'!$B$43 + 1)) + 'General Info'!$B$43 - 1, 0)</f>
        <v>55328.243939573382</v>
      </c>
      <c r="AI274" s="100" t="str">
        <f>IF(ISERROR(MATCH(SamplingData[[#This Row],[Batch by Type (p)]],SelectedPrecincts[Batch Name], 0)), "", INDEX(SelectedPrecincts[Draw], MATCH(SamplingData[[#This Row],[Batch by Type (p)]],SelectedPrecincts[Batch Name], 0)))</f>
        <v/>
      </c>
      <c r="AJ274" s="101">
        <f>IF(COUNTIF(SelectedPrecincts[Batch Name],SamplingData[[#This Row],[Batch by Type (p)]]) &lt;&gt; 0, COUNTIF(SelectedPrecincts[Batch Name],SamplingData[[#This Row],[Batch by Type (p)]]), 0)</f>
        <v>0</v>
      </c>
    </row>
    <row r="275" spans="1:36" ht="15" customHeight="1" x14ac:dyDescent="0.35">
      <c r="A275" s="98" t="s">
        <v>486</v>
      </c>
      <c r="B275" s="98">
        <v>44</v>
      </c>
      <c r="C275" s="98">
        <v>1</v>
      </c>
      <c r="D275" s="93">
        <v>2</v>
      </c>
      <c r="E275" s="93"/>
      <c r="F275" s="93"/>
      <c r="G275" s="97"/>
      <c r="H275" s="97"/>
      <c r="I275" s="93"/>
      <c r="J275" s="93"/>
      <c r="K275" s="93"/>
      <c r="L275" s="93"/>
      <c r="M275" s="93"/>
      <c r="N275" s="98">
        <v>0</v>
      </c>
      <c r="O275" s="98">
        <v>2</v>
      </c>
      <c r="P275" s="99">
        <f>SUM(SamplingData[[#This Row],[Winning Candidate]:[Under Votes]])</f>
        <v>49</v>
      </c>
      <c r="Q275" s="100">
        <f>IF(AND(SamplingData[[#This Row],[Total]]&lt;&gt; 0, NOT(ISBLANK(SamplingData[[#This Row],[Losing Candidate]]))),(SamplingData[[#This Row],[Total]]+SamplingData[[#This Row],[Winning Candidate]]-SamplingData[[#This Row],[Losing Candidate]])/(SamplingData[[#Totals],[Winning Candidate]]-SamplingData[[#Totals],[Losing Candidate]]), 0)</f>
        <v>5.8150559383098417E-3</v>
      </c>
      <c r="R275" s="100">
        <f>IF(AND(SamplingData[[#This Row],[Total]]&lt;&gt; 0, NOT(ISBLANK(SamplingData[[#This Row],[Candidate 3]]))),(SamplingData[[#This Row],[Total]]+SamplingData[[#This Row],[Winning Candidate]]-SamplingData[[#This Row],[Candidate 3]])/(SamplingData[[#Totals],[Winning Candidate]]-SamplingData[[#Totals],[Candidate 3]]), 0)</f>
        <v>5.1365996839015582E-3</v>
      </c>
      <c r="S275" s="100">
        <f>IF(AND(SamplingData[[#This Row],[Total]]&lt;&gt; 0, NOT(ISBLANK(SamplingData[[#This Row],[Candidate 4]]))),(SamplingData[[#This Row],[Total]]+SamplingData[[#This Row],[Winning Candidate]]-SamplingData[[#This Row],[Candidate 4]])/(SamplingData[[#Totals],[Winning Candidate]]-SamplingData[[#Totals],[Candidate 4]]), 0)</f>
        <v>0</v>
      </c>
      <c r="T275" s="100">
        <f>IF(AND(SamplingData[[#This Row],[Total]]&lt;&gt; 0, NOT(ISBLANK(SamplingData[[#This Row],[Candidate 5]]))),(SamplingData[[#This Row],[Total]]+SamplingData[[#This Row],[Winning Candidate]]-SamplingData[[#This Row],[Candidate 5]])/(SamplingData[[#Totals],[Winning Candidate]]-SamplingData[[#Totals],[Candidate 5]]), 0)</f>
        <v>0</v>
      </c>
      <c r="U275" s="100">
        <f>IF(AND(SamplingData[[#This Row],[Total]]&lt;&gt; 0, NOT(ISBLANK(SamplingData[[#This Row],[Candidate 6]]))),(SamplingData[[#This Row],[Total]]+SamplingData[[#This Row],[Losing Candidate]]-SamplingData[[#This Row],[Candidate 6]])/(SamplingData[[#Totals],[Winning Candidate]]-SamplingData[[#Totals],[Candidate 6]]), 0)</f>
        <v>0</v>
      </c>
      <c r="V275" s="100">
        <f>IF(AND(SamplingData[[#This Row],[Total]]&lt;&gt; 0, NOT(ISBLANK(SamplingData[[#This Row],[Candidate 7]]))),(SamplingData[[#This Row],[Total]]+SamplingData[[#This Row],[Winning Candidate]]-SamplingData[[#This Row],[Candidate 7]])/(SamplingData[[#Totals],[Winning Candidate]]-SamplingData[[#Totals],[Candidate 7]]), 0)</f>
        <v>0</v>
      </c>
      <c r="W275" s="100">
        <f>IF(AND(SamplingData[[#This Row],[Total]]&lt;&gt; 0, NOT(ISBLANK(SamplingData[[#This Row],[Candidate 8]]))),(SamplingData[[#This Row],[Total]]+SamplingData[[#This Row],[Winning Candidate]]-SamplingData[[#This Row],[Candidate 8]])/(SamplingData[[#Totals],[Winning Candidate]]-SamplingData[[#Totals],[Candidate 8]]), 0)</f>
        <v>0</v>
      </c>
      <c r="X2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5" s="100">
        <f>MAX(SamplingData[[#This Row],[Error Bound (up) - Max. possible relative overstatement - Losing Candidate]:[Error Bound (up) - Max. possible relative overstatement - Candidate 12]])</f>
        <v>5.8150559383098417E-3</v>
      </c>
      <c r="AC275" s="100">
        <f>IF(SamplingData[[#This Row],[Max Error Bound (up)]] = 0,0,SamplingData[[#This Row],[Max Error Bound (up)]]/SamplingData[[#Totals],[Max Error Bound (up)]])</f>
        <v>2.3600727298901014E-3</v>
      </c>
      <c r="AD275" s="104">
        <f>SUM($AC$5:AC275)</f>
        <v>0.55565251212562394</v>
      </c>
      <c r="AE275" s="100" t="str" cm="1">
        <f t="array" ref="AE275">IF(SamplingData[[#This Row],[up/U Selection Probability]] = 0, "Zero", TEXT(SamplingData[[#This Row],[Lower Range]], REPT("0",LEN('General Info'!$B$42))) &amp; " - " &amp; TEXT(SamplingData[[#This Row],[Upper Range]], REPT("0",LEN('General Info'!$B$42))))</f>
        <v>55329 - 55564</v>
      </c>
      <c r="AF275" s="100">
        <f>SamplingData[[#This Row],[Upper Range]]-SamplingData[[#This Row],[Span]]</f>
        <v>55329.243939573382</v>
      </c>
      <c r="AG275" s="100">
        <f>IF(ISNUMBER('General Info'!$B$42), ((SamplingData[[#This Row],[up/U Selection Probability]]) * 'General Info'!$B$44) - 1, 0)</f>
        <v>235.00727298901015</v>
      </c>
      <c r="AH275" s="100">
        <f>IF(ISNUMBER('General Info'!$B$42), (SamplingData[[#This Row],[Running (cumulative) sum]] * ('General Info'!$B$42 -'General Info'!$B$43 + 1)) + 'General Info'!$B$43 - 1, 0)</f>
        <v>55564.251212562391</v>
      </c>
      <c r="AI275" s="100" t="str">
        <f>IF(ISERROR(MATCH(SamplingData[[#This Row],[Batch by Type (p)]],SelectedPrecincts[Batch Name], 0)), "", INDEX(SelectedPrecincts[Draw], MATCH(SamplingData[[#This Row],[Batch by Type (p)]],SelectedPrecincts[Batch Name], 0)))</f>
        <v/>
      </c>
      <c r="AJ275" s="101">
        <f>IF(COUNTIF(SelectedPrecincts[Batch Name],SamplingData[[#This Row],[Batch by Type (p)]]) &lt;&gt; 0, COUNTIF(SelectedPrecincts[Batch Name],SamplingData[[#This Row],[Batch by Type (p)]]), 0)</f>
        <v>0</v>
      </c>
    </row>
    <row r="276" spans="1:36" ht="15" customHeight="1" x14ac:dyDescent="0.35">
      <c r="A276" s="98" t="s">
        <v>487</v>
      </c>
      <c r="B276" s="98">
        <v>32</v>
      </c>
      <c r="C276" s="98">
        <v>3</v>
      </c>
      <c r="D276" s="93">
        <v>2</v>
      </c>
      <c r="E276" s="93"/>
      <c r="F276" s="93"/>
      <c r="G276" s="97"/>
      <c r="H276" s="97"/>
      <c r="I276" s="93"/>
      <c r="J276" s="93"/>
      <c r="K276" s="93"/>
      <c r="L276" s="93"/>
      <c r="M276" s="93"/>
      <c r="N276" s="98">
        <v>0</v>
      </c>
      <c r="O276" s="98">
        <v>1</v>
      </c>
      <c r="P276" s="99">
        <f>SUM(SamplingData[[#This Row],[Winning Candidate]:[Under Votes]])</f>
        <v>38</v>
      </c>
      <c r="Q276" s="100">
        <f>IF(AND(SamplingData[[#This Row],[Total]]&lt;&gt; 0, NOT(ISBLANK(SamplingData[[#This Row],[Losing Candidate]]))),(SamplingData[[#This Row],[Total]]+SamplingData[[#This Row],[Winning Candidate]]-SamplingData[[#This Row],[Losing Candidate]])/(SamplingData[[#Totals],[Winning Candidate]]-SamplingData[[#Totals],[Losing Candidate]]), 0)</f>
        <v>4.2348776942039059E-3</v>
      </c>
      <c r="R276" s="100">
        <f>IF(AND(SamplingData[[#This Row],[Total]]&lt;&gt; 0, NOT(ISBLANK(SamplingData[[#This Row],[Candidate 3]]))),(SamplingData[[#This Row],[Total]]+SamplingData[[#This Row],[Winning Candidate]]-SamplingData[[#This Row],[Candidate 3]])/(SamplingData[[#Totals],[Winning Candidate]]-SamplingData[[#Totals],[Candidate 3]]), 0)</f>
        <v>3.8383382253330323E-3</v>
      </c>
      <c r="S276" s="100">
        <f>IF(AND(SamplingData[[#This Row],[Total]]&lt;&gt; 0, NOT(ISBLANK(SamplingData[[#This Row],[Candidate 4]]))),(SamplingData[[#This Row],[Total]]+SamplingData[[#This Row],[Winning Candidate]]-SamplingData[[#This Row],[Candidate 4]])/(SamplingData[[#Totals],[Winning Candidate]]-SamplingData[[#Totals],[Candidate 4]]), 0)</f>
        <v>0</v>
      </c>
      <c r="T276" s="100">
        <f>IF(AND(SamplingData[[#This Row],[Total]]&lt;&gt; 0, NOT(ISBLANK(SamplingData[[#This Row],[Candidate 5]]))),(SamplingData[[#This Row],[Total]]+SamplingData[[#This Row],[Winning Candidate]]-SamplingData[[#This Row],[Candidate 5]])/(SamplingData[[#Totals],[Winning Candidate]]-SamplingData[[#Totals],[Candidate 5]]), 0)</f>
        <v>0</v>
      </c>
      <c r="U276" s="100">
        <f>IF(AND(SamplingData[[#This Row],[Total]]&lt;&gt; 0, NOT(ISBLANK(SamplingData[[#This Row],[Candidate 6]]))),(SamplingData[[#This Row],[Total]]+SamplingData[[#This Row],[Losing Candidate]]-SamplingData[[#This Row],[Candidate 6]])/(SamplingData[[#Totals],[Winning Candidate]]-SamplingData[[#Totals],[Candidate 6]]), 0)</f>
        <v>0</v>
      </c>
      <c r="V276" s="100">
        <f>IF(AND(SamplingData[[#This Row],[Total]]&lt;&gt; 0, NOT(ISBLANK(SamplingData[[#This Row],[Candidate 7]]))),(SamplingData[[#This Row],[Total]]+SamplingData[[#This Row],[Winning Candidate]]-SamplingData[[#This Row],[Candidate 7]])/(SamplingData[[#Totals],[Winning Candidate]]-SamplingData[[#Totals],[Candidate 7]]), 0)</f>
        <v>0</v>
      </c>
      <c r="W276" s="100">
        <f>IF(AND(SamplingData[[#This Row],[Total]]&lt;&gt; 0, NOT(ISBLANK(SamplingData[[#This Row],[Candidate 8]]))),(SamplingData[[#This Row],[Total]]+SamplingData[[#This Row],[Winning Candidate]]-SamplingData[[#This Row],[Candidate 8]])/(SamplingData[[#Totals],[Winning Candidate]]-SamplingData[[#Totals],[Candidate 8]]), 0)</f>
        <v>0</v>
      </c>
      <c r="X2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6" s="100">
        <f>MAX(SamplingData[[#This Row],[Error Bound (up) - Max. possible relative overstatement - Losing Candidate]:[Error Bound (up) - Max. possible relative overstatement - Candidate 12]])</f>
        <v>4.2348776942039059E-3</v>
      </c>
      <c r="AC276" s="100">
        <f>IF(SamplingData[[#This Row],[Max Error Bound (up)]] = 0,0,SamplingData[[#This Row],[Max Error Bound (up)]]/SamplingData[[#Totals],[Max Error Bound (up)]])</f>
        <v>1.7187486185069214E-3</v>
      </c>
      <c r="AD276" s="104">
        <f>SUM($AC$5:AC276)</f>
        <v>0.5573712607441309</v>
      </c>
      <c r="AE276" s="100" t="str" cm="1">
        <f t="array" ref="AE276">IF(SamplingData[[#This Row],[up/U Selection Probability]] = 0, "Zero", TEXT(SamplingData[[#This Row],[Lower Range]], REPT("0",LEN('General Info'!$B$42))) &amp; " - " &amp; TEXT(SamplingData[[#This Row],[Upper Range]], REPT("0",LEN('General Info'!$B$42))))</f>
        <v>55565 - 55736</v>
      </c>
      <c r="AF276" s="100">
        <f>SamplingData[[#This Row],[Upper Range]]-SamplingData[[#This Row],[Span]]</f>
        <v>55565.251212562398</v>
      </c>
      <c r="AG276" s="100">
        <f>IF(ISNUMBER('General Info'!$B$42), ((SamplingData[[#This Row],[up/U Selection Probability]]) * 'General Info'!$B$44) - 1, 0)</f>
        <v>170.87486185069216</v>
      </c>
      <c r="AH276" s="100">
        <f>IF(ISNUMBER('General Info'!$B$42), (SamplingData[[#This Row],[Running (cumulative) sum]] * ('General Info'!$B$42 -'General Info'!$B$43 + 1)) + 'General Info'!$B$43 - 1, 0)</f>
        <v>55736.126074413092</v>
      </c>
      <c r="AI276" s="100" t="str">
        <f>IF(ISERROR(MATCH(SamplingData[[#This Row],[Batch by Type (p)]],SelectedPrecincts[Batch Name], 0)), "", INDEX(SelectedPrecincts[Draw], MATCH(SamplingData[[#This Row],[Batch by Type (p)]],SelectedPrecincts[Batch Name], 0)))</f>
        <v/>
      </c>
      <c r="AJ276" s="101">
        <f>IF(COUNTIF(SelectedPrecincts[Batch Name],SamplingData[[#This Row],[Batch by Type (p)]]) &lt;&gt; 0, COUNTIF(SelectedPrecincts[Batch Name],SamplingData[[#This Row],[Batch by Type (p)]]), 0)</f>
        <v>0</v>
      </c>
    </row>
    <row r="277" spans="1:36" ht="15" customHeight="1" x14ac:dyDescent="0.35">
      <c r="A277" s="98" t="s">
        <v>488</v>
      </c>
      <c r="B277" s="98">
        <v>31</v>
      </c>
      <c r="C277" s="98">
        <v>0</v>
      </c>
      <c r="D277" s="93">
        <v>0</v>
      </c>
      <c r="E277" s="93"/>
      <c r="F277" s="93"/>
      <c r="G277" s="97"/>
      <c r="H277" s="97"/>
      <c r="I277" s="93"/>
      <c r="J277" s="93"/>
      <c r="K277" s="93"/>
      <c r="L277" s="93"/>
      <c r="M277" s="93"/>
      <c r="N277" s="98">
        <v>0</v>
      </c>
      <c r="O277" s="98">
        <v>0</v>
      </c>
      <c r="P277" s="99">
        <f>SUM(SamplingData[[#This Row],[Winning Candidate]:[Under Votes]])</f>
        <v>31</v>
      </c>
      <c r="Q277" s="100">
        <f>IF(AND(SamplingData[[#This Row],[Total]]&lt;&gt; 0, NOT(ISBLANK(SamplingData[[#This Row],[Losing Candidate]]))),(SamplingData[[#This Row],[Total]]+SamplingData[[#This Row],[Winning Candidate]]-SamplingData[[#This Row],[Losing Candidate]])/(SamplingData[[#Totals],[Winning Candidate]]-SamplingData[[#Totals],[Losing Candidate]]), 0)</f>
        <v>3.9188420453827189E-3</v>
      </c>
      <c r="R277" s="100">
        <f>IF(AND(SamplingData[[#This Row],[Total]]&lt;&gt; 0, NOT(ISBLANK(SamplingData[[#This Row],[Candidate 3]]))),(SamplingData[[#This Row],[Total]]+SamplingData[[#This Row],[Winning Candidate]]-SamplingData[[#This Row],[Candidate 3]])/(SamplingData[[#Totals],[Winning Candidate]]-SamplingData[[#Totals],[Candidate 3]]), 0)</f>
        <v>3.4996613230977645E-3</v>
      </c>
      <c r="S277" s="100">
        <f>IF(AND(SamplingData[[#This Row],[Total]]&lt;&gt; 0, NOT(ISBLANK(SamplingData[[#This Row],[Candidate 4]]))),(SamplingData[[#This Row],[Total]]+SamplingData[[#This Row],[Winning Candidate]]-SamplingData[[#This Row],[Candidate 4]])/(SamplingData[[#Totals],[Winning Candidate]]-SamplingData[[#Totals],[Candidate 4]]), 0)</f>
        <v>0</v>
      </c>
      <c r="T277" s="100">
        <f>IF(AND(SamplingData[[#This Row],[Total]]&lt;&gt; 0, NOT(ISBLANK(SamplingData[[#This Row],[Candidate 5]]))),(SamplingData[[#This Row],[Total]]+SamplingData[[#This Row],[Winning Candidate]]-SamplingData[[#This Row],[Candidate 5]])/(SamplingData[[#Totals],[Winning Candidate]]-SamplingData[[#Totals],[Candidate 5]]), 0)</f>
        <v>0</v>
      </c>
      <c r="U277" s="100">
        <f>IF(AND(SamplingData[[#This Row],[Total]]&lt;&gt; 0, NOT(ISBLANK(SamplingData[[#This Row],[Candidate 6]]))),(SamplingData[[#This Row],[Total]]+SamplingData[[#This Row],[Losing Candidate]]-SamplingData[[#This Row],[Candidate 6]])/(SamplingData[[#Totals],[Winning Candidate]]-SamplingData[[#Totals],[Candidate 6]]), 0)</f>
        <v>0</v>
      </c>
      <c r="V277" s="100">
        <f>IF(AND(SamplingData[[#This Row],[Total]]&lt;&gt; 0, NOT(ISBLANK(SamplingData[[#This Row],[Candidate 7]]))),(SamplingData[[#This Row],[Total]]+SamplingData[[#This Row],[Winning Candidate]]-SamplingData[[#This Row],[Candidate 7]])/(SamplingData[[#Totals],[Winning Candidate]]-SamplingData[[#Totals],[Candidate 7]]), 0)</f>
        <v>0</v>
      </c>
      <c r="W277" s="100">
        <f>IF(AND(SamplingData[[#This Row],[Total]]&lt;&gt; 0, NOT(ISBLANK(SamplingData[[#This Row],[Candidate 8]]))),(SamplingData[[#This Row],[Total]]+SamplingData[[#This Row],[Winning Candidate]]-SamplingData[[#This Row],[Candidate 8]])/(SamplingData[[#Totals],[Winning Candidate]]-SamplingData[[#Totals],[Candidate 8]]), 0)</f>
        <v>0</v>
      </c>
      <c r="X2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7" s="100">
        <f>MAX(SamplingData[[#This Row],[Error Bound (up) - Max. possible relative overstatement - Losing Candidate]:[Error Bound (up) - Max. possible relative overstatement - Candidate 12]])</f>
        <v>3.9188420453827189E-3</v>
      </c>
      <c r="AC277" s="100">
        <f>IF(SamplingData[[#This Row],[Max Error Bound (up)]] = 0,0,SamplingData[[#This Row],[Max Error Bound (up)]]/SamplingData[[#Totals],[Max Error Bound (up)]])</f>
        <v>1.5904837962302857E-3</v>
      </c>
      <c r="AD277" s="104">
        <f>SUM($AC$5:AC277)</f>
        <v>0.55896174454036118</v>
      </c>
      <c r="AE277" s="100" t="str" cm="1">
        <f t="array" ref="AE277">IF(SamplingData[[#This Row],[up/U Selection Probability]] = 0, "Zero", TEXT(SamplingData[[#This Row],[Lower Range]], REPT("0",LEN('General Info'!$B$42))) &amp; " - " &amp; TEXT(SamplingData[[#This Row],[Upper Range]], REPT("0",LEN('General Info'!$B$42))))</f>
        <v>55737 - 55895</v>
      </c>
      <c r="AF277" s="100">
        <f>SamplingData[[#This Row],[Upper Range]]-SamplingData[[#This Row],[Span]]</f>
        <v>55737.126074413092</v>
      </c>
      <c r="AG277" s="100">
        <f>IF(ISNUMBER('General Info'!$B$42), ((SamplingData[[#This Row],[up/U Selection Probability]]) * 'General Info'!$B$44) - 1, 0)</f>
        <v>158.04837962302855</v>
      </c>
      <c r="AH277" s="100">
        <f>IF(ISNUMBER('General Info'!$B$42), (SamplingData[[#This Row],[Running (cumulative) sum]] * ('General Info'!$B$42 -'General Info'!$B$43 + 1)) + 'General Info'!$B$43 - 1, 0)</f>
        <v>55895.174454036118</v>
      </c>
      <c r="AI277" s="100" t="str">
        <f>IF(ISERROR(MATCH(SamplingData[[#This Row],[Batch by Type (p)]],SelectedPrecincts[Batch Name], 0)), "", INDEX(SelectedPrecincts[Draw], MATCH(SamplingData[[#This Row],[Batch by Type (p)]],SelectedPrecincts[Batch Name], 0)))</f>
        <v/>
      </c>
      <c r="AJ277" s="101">
        <f>IF(COUNTIF(SelectedPrecincts[Batch Name],SamplingData[[#This Row],[Batch by Type (p)]]) &lt;&gt; 0, COUNTIF(SelectedPrecincts[Batch Name],SamplingData[[#This Row],[Batch by Type (p)]]), 0)</f>
        <v>0</v>
      </c>
    </row>
    <row r="278" spans="1:36" ht="15" customHeight="1" x14ac:dyDescent="0.35">
      <c r="A278" s="98" t="s">
        <v>489</v>
      </c>
      <c r="B278" s="98">
        <v>83</v>
      </c>
      <c r="C278" s="98">
        <v>5</v>
      </c>
      <c r="D278" s="93">
        <v>6</v>
      </c>
      <c r="E278" s="93"/>
      <c r="F278" s="93"/>
      <c r="G278" s="97"/>
      <c r="H278" s="97"/>
      <c r="I278" s="93"/>
      <c r="J278" s="93"/>
      <c r="K278" s="93"/>
      <c r="L278" s="93"/>
      <c r="M278" s="93"/>
      <c r="N278" s="98">
        <v>0</v>
      </c>
      <c r="O278" s="98">
        <v>2</v>
      </c>
      <c r="P278" s="99">
        <f>SUM(SamplingData[[#This Row],[Winning Candidate]:[Under Votes]])</f>
        <v>96</v>
      </c>
      <c r="Q278" s="100">
        <f>IF(AND(SamplingData[[#This Row],[Total]]&lt;&gt; 0, NOT(ISBLANK(SamplingData[[#This Row],[Losing Candidate]]))),(SamplingData[[#This Row],[Total]]+SamplingData[[#This Row],[Winning Candidate]]-SamplingData[[#This Row],[Losing Candidate]])/(SamplingData[[#Totals],[Winning Candidate]]-SamplingData[[#Totals],[Losing Candidate]]), 0)</f>
        <v>1.0998040578977309E-2</v>
      </c>
      <c r="R278" s="100">
        <f>IF(AND(SamplingData[[#This Row],[Total]]&lt;&gt; 0, NOT(ISBLANK(SamplingData[[#This Row],[Candidate 3]]))),(SamplingData[[#This Row],[Total]]+SamplingData[[#This Row],[Winning Candidate]]-SamplingData[[#This Row],[Candidate 3]])/(SamplingData[[#Totals],[Winning Candidate]]-SamplingData[[#Totals],[Candidate 3]]), 0)</f>
        <v>9.765184014450215E-3</v>
      </c>
      <c r="S278" s="100">
        <f>IF(AND(SamplingData[[#This Row],[Total]]&lt;&gt; 0, NOT(ISBLANK(SamplingData[[#This Row],[Candidate 4]]))),(SamplingData[[#This Row],[Total]]+SamplingData[[#This Row],[Winning Candidate]]-SamplingData[[#This Row],[Candidate 4]])/(SamplingData[[#Totals],[Winning Candidate]]-SamplingData[[#Totals],[Candidate 4]]), 0)</f>
        <v>0</v>
      </c>
      <c r="T278" s="100">
        <f>IF(AND(SamplingData[[#This Row],[Total]]&lt;&gt; 0, NOT(ISBLANK(SamplingData[[#This Row],[Candidate 5]]))),(SamplingData[[#This Row],[Total]]+SamplingData[[#This Row],[Winning Candidate]]-SamplingData[[#This Row],[Candidate 5]])/(SamplingData[[#Totals],[Winning Candidate]]-SamplingData[[#Totals],[Candidate 5]]), 0)</f>
        <v>0</v>
      </c>
      <c r="U278" s="100">
        <f>IF(AND(SamplingData[[#This Row],[Total]]&lt;&gt; 0, NOT(ISBLANK(SamplingData[[#This Row],[Candidate 6]]))),(SamplingData[[#This Row],[Total]]+SamplingData[[#This Row],[Losing Candidate]]-SamplingData[[#This Row],[Candidate 6]])/(SamplingData[[#Totals],[Winning Candidate]]-SamplingData[[#Totals],[Candidate 6]]), 0)</f>
        <v>0</v>
      </c>
      <c r="V278" s="100">
        <f>IF(AND(SamplingData[[#This Row],[Total]]&lt;&gt; 0, NOT(ISBLANK(SamplingData[[#This Row],[Candidate 7]]))),(SamplingData[[#This Row],[Total]]+SamplingData[[#This Row],[Winning Candidate]]-SamplingData[[#This Row],[Candidate 7]])/(SamplingData[[#Totals],[Winning Candidate]]-SamplingData[[#Totals],[Candidate 7]]), 0)</f>
        <v>0</v>
      </c>
      <c r="W278" s="100">
        <f>IF(AND(SamplingData[[#This Row],[Total]]&lt;&gt; 0, NOT(ISBLANK(SamplingData[[#This Row],[Candidate 8]]))),(SamplingData[[#This Row],[Total]]+SamplingData[[#This Row],[Winning Candidate]]-SamplingData[[#This Row],[Candidate 8]])/(SamplingData[[#Totals],[Winning Candidate]]-SamplingData[[#Totals],[Candidate 8]]), 0)</f>
        <v>0</v>
      </c>
      <c r="X2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8" s="100">
        <f>MAX(SamplingData[[#This Row],[Error Bound (up) - Max. possible relative overstatement - Losing Candidate]:[Error Bound (up) - Max. possible relative overstatement - Candidate 12]])</f>
        <v>1.0998040578977309E-2</v>
      </c>
      <c r="AC278" s="100">
        <f>IF(SamplingData[[#This Row],[Max Error Bound (up)]] = 0,0,SamplingData[[#This Row],[Max Error Bound (up)]]/SamplingData[[#Totals],[Max Error Bound (up)]])</f>
        <v>4.4636158152269309E-3</v>
      </c>
      <c r="AD278" s="104">
        <f>SUM($AC$5:AC278)</f>
        <v>0.5634253603555881</v>
      </c>
      <c r="AE278" s="100" t="str" cm="1">
        <f t="array" ref="AE278">IF(SamplingData[[#This Row],[up/U Selection Probability]] = 0, "Zero", TEXT(SamplingData[[#This Row],[Lower Range]], REPT("0",LEN('General Info'!$B$42))) &amp; " - " &amp; TEXT(SamplingData[[#This Row],[Upper Range]], REPT("0",LEN('General Info'!$B$42))))</f>
        <v>55896 - 56342</v>
      </c>
      <c r="AF278" s="100">
        <f>SamplingData[[#This Row],[Upper Range]]-SamplingData[[#This Row],[Span]]</f>
        <v>55896.174454036118</v>
      </c>
      <c r="AG278" s="100">
        <f>IF(ISNUMBER('General Info'!$B$42), ((SamplingData[[#This Row],[up/U Selection Probability]]) * 'General Info'!$B$44) - 1, 0)</f>
        <v>445.36158152269309</v>
      </c>
      <c r="AH278" s="100">
        <f>IF(ISNUMBER('General Info'!$B$42), (SamplingData[[#This Row],[Running (cumulative) sum]] * ('General Info'!$B$42 -'General Info'!$B$43 + 1)) + 'General Info'!$B$43 - 1, 0)</f>
        <v>56341.536035558813</v>
      </c>
      <c r="AI278" s="100" t="str">
        <f>IF(ISERROR(MATCH(SamplingData[[#This Row],[Batch by Type (p)]],SelectedPrecincts[Batch Name], 0)), "", INDEX(SelectedPrecincts[Draw], MATCH(SamplingData[[#This Row],[Batch by Type (p)]],SelectedPrecincts[Batch Name], 0)))</f>
        <v/>
      </c>
      <c r="AJ278" s="101">
        <f>IF(COUNTIF(SelectedPrecincts[Batch Name],SamplingData[[#This Row],[Batch by Type (p)]]) &lt;&gt; 0, COUNTIF(SelectedPrecincts[Batch Name],SamplingData[[#This Row],[Batch by Type (p)]]), 0)</f>
        <v>0</v>
      </c>
    </row>
    <row r="279" spans="1:36" ht="15" customHeight="1" x14ac:dyDescent="0.35">
      <c r="A279" s="98" t="s">
        <v>490</v>
      </c>
      <c r="B279" s="98">
        <v>45</v>
      </c>
      <c r="C279" s="98">
        <v>0</v>
      </c>
      <c r="D279" s="93">
        <v>0</v>
      </c>
      <c r="E279" s="93"/>
      <c r="F279" s="93"/>
      <c r="G279" s="97"/>
      <c r="H279" s="97"/>
      <c r="I279" s="93"/>
      <c r="J279" s="93"/>
      <c r="K279" s="93"/>
      <c r="L279" s="93"/>
      <c r="M279" s="93"/>
      <c r="N279" s="98">
        <v>0</v>
      </c>
      <c r="O279" s="98">
        <v>0</v>
      </c>
      <c r="P279" s="99">
        <f>SUM(SamplingData[[#This Row],[Winning Candidate]:[Under Votes]])</f>
        <v>45</v>
      </c>
      <c r="Q279" s="100">
        <f>IF(AND(SamplingData[[#This Row],[Total]]&lt;&gt; 0, NOT(ISBLANK(SamplingData[[#This Row],[Losing Candidate]]))),(SamplingData[[#This Row],[Total]]+SamplingData[[#This Row],[Winning Candidate]]-SamplingData[[#This Row],[Losing Candidate]])/(SamplingData[[#Totals],[Winning Candidate]]-SamplingData[[#Totals],[Losing Candidate]]), 0)</f>
        <v>5.6886416787813665E-3</v>
      </c>
      <c r="R279" s="100">
        <f>IF(AND(SamplingData[[#This Row],[Total]]&lt;&gt; 0, NOT(ISBLANK(SamplingData[[#This Row],[Candidate 3]]))),(SamplingData[[#This Row],[Total]]+SamplingData[[#This Row],[Winning Candidate]]-SamplingData[[#This Row],[Candidate 3]])/(SamplingData[[#Totals],[Winning Candidate]]-SamplingData[[#Totals],[Candidate 3]]), 0)</f>
        <v>5.0801535335290131E-3</v>
      </c>
      <c r="S279" s="100">
        <f>IF(AND(SamplingData[[#This Row],[Total]]&lt;&gt; 0, NOT(ISBLANK(SamplingData[[#This Row],[Candidate 4]]))),(SamplingData[[#This Row],[Total]]+SamplingData[[#This Row],[Winning Candidate]]-SamplingData[[#This Row],[Candidate 4]])/(SamplingData[[#Totals],[Winning Candidate]]-SamplingData[[#Totals],[Candidate 4]]), 0)</f>
        <v>0</v>
      </c>
      <c r="T279" s="100">
        <f>IF(AND(SamplingData[[#This Row],[Total]]&lt;&gt; 0, NOT(ISBLANK(SamplingData[[#This Row],[Candidate 5]]))),(SamplingData[[#This Row],[Total]]+SamplingData[[#This Row],[Winning Candidate]]-SamplingData[[#This Row],[Candidate 5]])/(SamplingData[[#Totals],[Winning Candidate]]-SamplingData[[#Totals],[Candidate 5]]), 0)</f>
        <v>0</v>
      </c>
      <c r="U279" s="100">
        <f>IF(AND(SamplingData[[#This Row],[Total]]&lt;&gt; 0, NOT(ISBLANK(SamplingData[[#This Row],[Candidate 6]]))),(SamplingData[[#This Row],[Total]]+SamplingData[[#This Row],[Losing Candidate]]-SamplingData[[#This Row],[Candidate 6]])/(SamplingData[[#Totals],[Winning Candidate]]-SamplingData[[#Totals],[Candidate 6]]), 0)</f>
        <v>0</v>
      </c>
      <c r="V279" s="100">
        <f>IF(AND(SamplingData[[#This Row],[Total]]&lt;&gt; 0, NOT(ISBLANK(SamplingData[[#This Row],[Candidate 7]]))),(SamplingData[[#This Row],[Total]]+SamplingData[[#This Row],[Winning Candidate]]-SamplingData[[#This Row],[Candidate 7]])/(SamplingData[[#Totals],[Winning Candidate]]-SamplingData[[#Totals],[Candidate 7]]), 0)</f>
        <v>0</v>
      </c>
      <c r="W279" s="100">
        <f>IF(AND(SamplingData[[#This Row],[Total]]&lt;&gt; 0, NOT(ISBLANK(SamplingData[[#This Row],[Candidate 8]]))),(SamplingData[[#This Row],[Total]]+SamplingData[[#This Row],[Winning Candidate]]-SamplingData[[#This Row],[Candidate 8]])/(SamplingData[[#Totals],[Winning Candidate]]-SamplingData[[#Totals],[Candidate 8]]), 0)</f>
        <v>0</v>
      </c>
      <c r="X2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9" s="100">
        <f>MAX(SamplingData[[#This Row],[Error Bound (up) - Max. possible relative overstatement - Losing Candidate]:[Error Bound (up) - Max. possible relative overstatement - Candidate 12]])</f>
        <v>5.6886416787813665E-3</v>
      </c>
      <c r="AC279" s="100">
        <f>IF(SamplingData[[#This Row],[Max Error Bound (up)]] = 0,0,SamplingData[[#This Row],[Max Error Bound (up)]]/SamplingData[[#Totals],[Max Error Bound (up)]])</f>
        <v>2.3087668009794471E-3</v>
      </c>
      <c r="AD279" s="104">
        <f>SUM($AC$5:AC279)</f>
        <v>0.56573412715656757</v>
      </c>
      <c r="AE279" s="100" t="str" cm="1">
        <f t="array" ref="AE279">IF(SamplingData[[#This Row],[up/U Selection Probability]] = 0, "Zero", TEXT(SamplingData[[#This Row],[Lower Range]], REPT("0",LEN('General Info'!$B$42))) &amp; " - " &amp; TEXT(SamplingData[[#This Row],[Upper Range]], REPT("0",LEN('General Info'!$B$42))))</f>
        <v>56343 - 56572</v>
      </c>
      <c r="AF279" s="100">
        <f>SamplingData[[#This Row],[Upper Range]]-SamplingData[[#This Row],[Span]]</f>
        <v>56342.536035558813</v>
      </c>
      <c r="AG279" s="100">
        <f>IF(ISNUMBER('General Info'!$B$42), ((SamplingData[[#This Row],[up/U Selection Probability]]) * 'General Info'!$B$44) - 1, 0)</f>
        <v>229.8766800979447</v>
      </c>
      <c r="AH279" s="100">
        <f>IF(ISNUMBER('General Info'!$B$42), (SamplingData[[#This Row],[Running (cumulative) sum]] * ('General Info'!$B$42 -'General Info'!$B$43 + 1)) + 'General Info'!$B$43 - 1, 0)</f>
        <v>56572.412715656756</v>
      </c>
      <c r="AI279" s="100" t="str">
        <f>IF(ISERROR(MATCH(SamplingData[[#This Row],[Batch by Type (p)]],SelectedPrecincts[Batch Name], 0)), "", INDEX(SelectedPrecincts[Draw], MATCH(SamplingData[[#This Row],[Batch by Type (p)]],SelectedPrecincts[Batch Name], 0)))</f>
        <v/>
      </c>
      <c r="AJ279" s="101">
        <f>IF(COUNTIF(SelectedPrecincts[Batch Name],SamplingData[[#This Row],[Batch by Type (p)]]) &lt;&gt; 0, COUNTIF(SelectedPrecincts[Batch Name],SamplingData[[#This Row],[Batch by Type (p)]]), 0)</f>
        <v>0</v>
      </c>
    </row>
    <row r="280" spans="1:36" ht="15" customHeight="1" x14ac:dyDescent="0.35">
      <c r="A280" s="98" t="s">
        <v>491</v>
      </c>
      <c r="B280" s="98">
        <v>75</v>
      </c>
      <c r="C280" s="98">
        <v>3</v>
      </c>
      <c r="D280" s="93">
        <v>1</v>
      </c>
      <c r="E280" s="93"/>
      <c r="F280" s="93"/>
      <c r="G280" s="97"/>
      <c r="H280" s="97"/>
      <c r="I280" s="93"/>
      <c r="J280" s="93"/>
      <c r="K280" s="93"/>
      <c r="L280" s="93"/>
      <c r="M280" s="93"/>
      <c r="N280" s="98">
        <v>0</v>
      </c>
      <c r="O280" s="98">
        <v>0</v>
      </c>
      <c r="P280" s="99">
        <f>SUM(SamplingData[[#This Row],[Winning Candidate]:[Under Votes]])</f>
        <v>79</v>
      </c>
      <c r="Q280" s="100">
        <f>IF(AND(SamplingData[[#This Row],[Total]]&lt;&gt; 0, NOT(ISBLANK(SamplingData[[#This Row],[Losing Candidate]]))),(SamplingData[[#This Row],[Total]]+SamplingData[[#This Row],[Winning Candidate]]-SamplingData[[#This Row],[Losing Candidate]])/(SamplingData[[#Totals],[Winning Candidate]]-SamplingData[[#Totals],[Losing Candidate]]), 0)</f>
        <v>9.5442765943998479E-3</v>
      </c>
      <c r="R280" s="100">
        <f>IF(AND(SamplingData[[#This Row],[Total]]&lt;&gt; 0, NOT(ISBLANK(SamplingData[[#This Row],[Candidate 3]]))),(SamplingData[[#This Row],[Total]]+SamplingData[[#This Row],[Winning Candidate]]-SamplingData[[#This Row],[Candidate 3]])/(SamplingData[[#Totals],[Winning Candidate]]-SamplingData[[#Totals],[Candidate 3]]), 0)</f>
        <v>8.6362610069993222E-3</v>
      </c>
      <c r="S280" s="100">
        <f>IF(AND(SamplingData[[#This Row],[Total]]&lt;&gt; 0, NOT(ISBLANK(SamplingData[[#This Row],[Candidate 4]]))),(SamplingData[[#This Row],[Total]]+SamplingData[[#This Row],[Winning Candidate]]-SamplingData[[#This Row],[Candidate 4]])/(SamplingData[[#Totals],[Winning Candidate]]-SamplingData[[#Totals],[Candidate 4]]), 0)</f>
        <v>0</v>
      </c>
      <c r="T280" s="100">
        <f>IF(AND(SamplingData[[#This Row],[Total]]&lt;&gt; 0, NOT(ISBLANK(SamplingData[[#This Row],[Candidate 5]]))),(SamplingData[[#This Row],[Total]]+SamplingData[[#This Row],[Winning Candidate]]-SamplingData[[#This Row],[Candidate 5]])/(SamplingData[[#Totals],[Winning Candidate]]-SamplingData[[#Totals],[Candidate 5]]), 0)</f>
        <v>0</v>
      </c>
      <c r="U280" s="100">
        <f>IF(AND(SamplingData[[#This Row],[Total]]&lt;&gt; 0, NOT(ISBLANK(SamplingData[[#This Row],[Candidate 6]]))),(SamplingData[[#This Row],[Total]]+SamplingData[[#This Row],[Losing Candidate]]-SamplingData[[#This Row],[Candidate 6]])/(SamplingData[[#Totals],[Winning Candidate]]-SamplingData[[#Totals],[Candidate 6]]), 0)</f>
        <v>0</v>
      </c>
      <c r="V280" s="100">
        <f>IF(AND(SamplingData[[#This Row],[Total]]&lt;&gt; 0, NOT(ISBLANK(SamplingData[[#This Row],[Candidate 7]]))),(SamplingData[[#This Row],[Total]]+SamplingData[[#This Row],[Winning Candidate]]-SamplingData[[#This Row],[Candidate 7]])/(SamplingData[[#Totals],[Winning Candidate]]-SamplingData[[#Totals],[Candidate 7]]), 0)</f>
        <v>0</v>
      </c>
      <c r="W280" s="100">
        <f>IF(AND(SamplingData[[#This Row],[Total]]&lt;&gt; 0, NOT(ISBLANK(SamplingData[[#This Row],[Candidate 8]]))),(SamplingData[[#This Row],[Total]]+SamplingData[[#This Row],[Winning Candidate]]-SamplingData[[#This Row],[Candidate 8]])/(SamplingData[[#Totals],[Winning Candidate]]-SamplingData[[#Totals],[Candidate 8]]), 0)</f>
        <v>0</v>
      </c>
      <c r="X2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0" s="100">
        <f>MAX(SamplingData[[#This Row],[Error Bound (up) - Max. possible relative overstatement - Losing Candidate]:[Error Bound (up) - Max. possible relative overstatement - Candidate 12]])</f>
        <v>9.5442765943998479E-3</v>
      </c>
      <c r="AC280" s="100">
        <f>IF(SamplingData[[#This Row],[Max Error Bound (up)]] = 0,0,SamplingData[[#This Row],[Max Error Bound (up)]]/SamplingData[[#Totals],[Max Error Bound (up)]])</f>
        <v>3.8735976327544052E-3</v>
      </c>
      <c r="AD280" s="104">
        <f>SUM($AC$5:AC280)</f>
        <v>0.56960772478932198</v>
      </c>
      <c r="AE280" s="100" t="str" cm="1">
        <f t="array" ref="AE280">IF(SamplingData[[#This Row],[up/U Selection Probability]] = 0, "Zero", TEXT(SamplingData[[#This Row],[Lower Range]], REPT("0",LEN('General Info'!$B$42))) &amp; " - " &amp; TEXT(SamplingData[[#This Row],[Upper Range]], REPT("0",LEN('General Info'!$B$42))))</f>
        <v>56573 - 56960</v>
      </c>
      <c r="AF280" s="100">
        <f>SamplingData[[#This Row],[Upper Range]]-SamplingData[[#This Row],[Span]]</f>
        <v>56573.412715656756</v>
      </c>
      <c r="AG280" s="100">
        <f>IF(ISNUMBER('General Info'!$B$42), ((SamplingData[[#This Row],[up/U Selection Probability]]) * 'General Info'!$B$44) - 1, 0)</f>
        <v>386.35976327544051</v>
      </c>
      <c r="AH280" s="100">
        <f>IF(ISNUMBER('General Info'!$B$42), (SamplingData[[#This Row],[Running (cumulative) sum]] * ('General Info'!$B$42 -'General Info'!$B$43 + 1)) + 'General Info'!$B$43 - 1, 0)</f>
        <v>56959.772478932195</v>
      </c>
      <c r="AI280" s="100" t="str">
        <f>IF(ISERROR(MATCH(SamplingData[[#This Row],[Batch by Type (p)]],SelectedPrecincts[Batch Name], 0)), "", INDEX(SelectedPrecincts[Draw], MATCH(SamplingData[[#This Row],[Batch by Type (p)]],SelectedPrecincts[Batch Name], 0)))</f>
        <v/>
      </c>
      <c r="AJ280" s="101">
        <f>IF(COUNTIF(SelectedPrecincts[Batch Name],SamplingData[[#This Row],[Batch by Type (p)]]) &lt;&gt; 0, COUNTIF(SelectedPrecincts[Batch Name],SamplingData[[#This Row],[Batch by Type (p)]]), 0)</f>
        <v>0</v>
      </c>
    </row>
    <row r="281" spans="1:36" ht="15" customHeight="1" x14ac:dyDescent="0.35">
      <c r="A281" s="98" t="s">
        <v>492</v>
      </c>
      <c r="B281" s="98">
        <v>152</v>
      </c>
      <c r="C281" s="98">
        <v>9</v>
      </c>
      <c r="D281" s="93">
        <v>7</v>
      </c>
      <c r="E281" s="93"/>
      <c r="F281" s="93"/>
      <c r="G281" s="97"/>
      <c r="H281" s="97"/>
      <c r="I281" s="93"/>
      <c r="J281" s="93"/>
      <c r="K281" s="93"/>
      <c r="L281" s="93"/>
      <c r="M281" s="93"/>
      <c r="N281" s="98">
        <v>0</v>
      </c>
      <c r="O281" s="98">
        <v>3</v>
      </c>
      <c r="P281" s="99">
        <f>SUM(SamplingData[[#This Row],[Winning Candidate]:[Under Votes]])</f>
        <v>171</v>
      </c>
      <c r="Q281" s="100">
        <f>IF(AND(SamplingData[[#This Row],[Total]]&lt;&gt; 0, NOT(ISBLANK(SamplingData[[#This Row],[Losing Candidate]]))),(SamplingData[[#This Row],[Total]]+SamplingData[[#This Row],[Winning Candidate]]-SamplingData[[#This Row],[Losing Candidate]])/(SamplingData[[#Totals],[Winning Candidate]]-SamplingData[[#Totals],[Losing Candidate]]), 0)</f>
        <v>1.9847038745970547E-2</v>
      </c>
      <c r="R281" s="100">
        <f>IF(AND(SamplingData[[#This Row],[Total]]&lt;&gt; 0, NOT(ISBLANK(SamplingData[[#This Row],[Candidate 3]]))),(SamplingData[[#This Row],[Total]]+SamplingData[[#This Row],[Winning Candidate]]-SamplingData[[#This Row],[Candidate 3]])/(SamplingData[[#Totals],[Winning Candidate]]-SamplingData[[#Totals],[Candidate 3]]), 0)</f>
        <v>1.783698351772409E-2</v>
      </c>
      <c r="S281" s="100">
        <f>IF(AND(SamplingData[[#This Row],[Total]]&lt;&gt; 0, NOT(ISBLANK(SamplingData[[#This Row],[Candidate 4]]))),(SamplingData[[#This Row],[Total]]+SamplingData[[#This Row],[Winning Candidate]]-SamplingData[[#This Row],[Candidate 4]])/(SamplingData[[#Totals],[Winning Candidate]]-SamplingData[[#Totals],[Candidate 4]]), 0)</f>
        <v>0</v>
      </c>
      <c r="T281" s="100">
        <f>IF(AND(SamplingData[[#This Row],[Total]]&lt;&gt; 0, NOT(ISBLANK(SamplingData[[#This Row],[Candidate 5]]))),(SamplingData[[#This Row],[Total]]+SamplingData[[#This Row],[Winning Candidate]]-SamplingData[[#This Row],[Candidate 5]])/(SamplingData[[#Totals],[Winning Candidate]]-SamplingData[[#Totals],[Candidate 5]]), 0)</f>
        <v>0</v>
      </c>
      <c r="U281" s="100">
        <f>IF(AND(SamplingData[[#This Row],[Total]]&lt;&gt; 0, NOT(ISBLANK(SamplingData[[#This Row],[Candidate 6]]))),(SamplingData[[#This Row],[Total]]+SamplingData[[#This Row],[Losing Candidate]]-SamplingData[[#This Row],[Candidate 6]])/(SamplingData[[#Totals],[Winning Candidate]]-SamplingData[[#Totals],[Candidate 6]]), 0)</f>
        <v>0</v>
      </c>
      <c r="V281" s="100">
        <f>IF(AND(SamplingData[[#This Row],[Total]]&lt;&gt; 0, NOT(ISBLANK(SamplingData[[#This Row],[Candidate 7]]))),(SamplingData[[#This Row],[Total]]+SamplingData[[#This Row],[Winning Candidate]]-SamplingData[[#This Row],[Candidate 7]])/(SamplingData[[#Totals],[Winning Candidate]]-SamplingData[[#Totals],[Candidate 7]]), 0)</f>
        <v>0</v>
      </c>
      <c r="W281" s="100">
        <f>IF(AND(SamplingData[[#This Row],[Total]]&lt;&gt; 0, NOT(ISBLANK(SamplingData[[#This Row],[Candidate 8]]))),(SamplingData[[#This Row],[Total]]+SamplingData[[#This Row],[Winning Candidate]]-SamplingData[[#This Row],[Candidate 8]])/(SamplingData[[#Totals],[Winning Candidate]]-SamplingData[[#Totals],[Candidate 8]]), 0)</f>
        <v>0</v>
      </c>
      <c r="X2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1" s="100">
        <f>MAX(SamplingData[[#This Row],[Error Bound (up) - Max. possible relative overstatement - Losing Candidate]:[Error Bound (up) - Max. possible relative overstatement - Candidate 12]])</f>
        <v>1.9847038745970547E-2</v>
      </c>
      <c r="AC281" s="100">
        <f>IF(SamplingData[[#This Row],[Max Error Bound (up)]] = 0,0,SamplingData[[#This Row],[Max Error Bound (up)]]/SamplingData[[#Totals],[Max Error Bound (up)]])</f>
        <v>8.055030838972738E-3</v>
      </c>
      <c r="AD281" s="104">
        <f>SUM($AC$5:AC281)</f>
        <v>0.57766275562829472</v>
      </c>
      <c r="AE281" s="100" t="str" cm="1">
        <f t="array" ref="AE281">IF(SamplingData[[#This Row],[up/U Selection Probability]] = 0, "Zero", TEXT(SamplingData[[#This Row],[Lower Range]], REPT("0",LEN('General Info'!$B$42))) &amp; " - " &amp; TEXT(SamplingData[[#This Row],[Upper Range]], REPT("0",LEN('General Info'!$B$42))))</f>
        <v>56961 - 57765</v>
      </c>
      <c r="AF281" s="100">
        <f>SamplingData[[#This Row],[Upper Range]]-SamplingData[[#This Row],[Span]]</f>
        <v>56960.772478932195</v>
      </c>
      <c r="AG281" s="100">
        <f>IF(ISNUMBER('General Info'!$B$42), ((SamplingData[[#This Row],[up/U Selection Probability]]) * 'General Info'!$B$44) - 1, 0)</f>
        <v>804.50308389727377</v>
      </c>
      <c r="AH281" s="100">
        <f>IF(ISNUMBER('General Info'!$B$42), (SamplingData[[#This Row],[Running (cumulative) sum]] * ('General Info'!$B$42 -'General Info'!$B$43 + 1)) + 'General Info'!$B$43 - 1, 0)</f>
        <v>57765.275562829469</v>
      </c>
      <c r="AI281" s="100" t="str">
        <f>IF(ISERROR(MATCH(SamplingData[[#This Row],[Batch by Type (p)]],SelectedPrecincts[Batch Name], 0)), "", INDEX(SelectedPrecincts[Draw], MATCH(SamplingData[[#This Row],[Batch by Type (p)]],SelectedPrecincts[Batch Name], 0)))</f>
        <v/>
      </c>
      <c r="AJ281" s="101">
        <f>IF(COUNTIF(SelectedPrecincts[Batch Name],SamplingData[[#This Row],[Batch by Type (p)]]) &lt;&gt; 0, COUNTIF(SelectedPrecincts[Batch Name],SamplingData[[#This Row],[Batch by Type (p)]]), 0)</f>
        <v>0</v>
      </c>
    </row>
    <row r="282" spans="1:36" ht="15" customHeight="1" x14ac:dyDescent="0.35">
      <c r="A282" s="98" t="s">
        <v>493</v>
      </c>
      <c r="B282" s="98">
        <v>126</v>
      </c>
      <c r="C282" s="98">
        <v>1</v>
      </c>
      <c r="D282" s="93">
        <v>2</v>
      </c>
      <c r="E282" s="93"/>
      <c r="F282" s="93"/>
      <c r="G282" s="97"/>
      <c r="H282" s="97"/>
      <c r="I282" s="93"/>
      <c r="J282" s="93"/>
      <c r="K282" s="93"/>
      <c r="L282" s="93"/>
      <c r="M282" s="93"/>
      <c r="N282" s="98">
        <v>0</v>
      </c>
      <c r="O282" s="98">
        <v>1</v>
      </c>
      <c r="P282" s="99">
        <f>SUM(SamplingData[[#This Row],[Winning Candidate]:[Under Votes]])</f>
        <v>130</v>
      </c>
      <c r="Q282" s="100">
        <f>IF(AND(SamplingData[[#This Row],[Total]]&lt;&gt; 0, NOT(ISBLANK(SamplingData[[#This Row],[Losing Candidate]]))),(SamplingData[[#This Row],[Total]]+SamplingData[[#This Row],[Winning Candidate]]-SamplingData[[#This Row],[Losing Candidate]])/(SamplingData[[#Totals],[Winning Candidate]]-SamplingData[[#Totals],[Losing Candidate]]), 0)</f>
        <v>1.611781808988054E-2</v>
      </c>
      <c r="R282" s="100">
        <f>IF(AND(SamplingData[[#This Row],[Total]]&lt;&gt; 0, NOT(ISBLANK(SamplingData[[#This Row],[Candidate 3]]))),(SamplingData[[#This Row],[Total]]+SamplingData[[#This Row],[Winning Candidate]]-SamplingData[[#This Row],[Candidate 3]])/(SamplingData[[#Totals],[Winning Candidate]]-SamplingData[[#Totals],[Candidate 3]]), 0)</f>
        <v>1.4337322194626327E-2</v>
      </c>
      <c r="S282" s="100">
        <f>IF(AND(SamplingData[[#This Row],[Total]]&lt;&gt; 0, NOT(ISBLANK(SamplingData[[#This Row],[Candidate 4]]))),(SamplingData[[#This Row],[Total]]+SamplingData[[#This Row],[Winning Candidate]]-SamplingData[[#This Row],[Candidate 4]])/(SamplingData[[#Totals],[Winning Candidate]]-SamplingData[[#Totals],[Candidate 4]]), 0)</f>
        <v>0</v>
      </c>
      <c r="T282" s="100">
        <f>IF(AND(SamplingData[[#This Row],[Total]]&lt;&gt; 0, NOT(ISBLANK(SamplingData[[#This Row],[Candidate 5]]))),(SamplingData[[#This Row],[Total]]+SamplingData[[#This Row],[Winning Candidate]]-SamplingData[[#This Row],[Candidate 5]])/(SamplingData[[#Totals],[Winning Candidate]]-SamplingData[[#Totals],[Candidate 5]]), 0)</f>
        <v>0</v>
      </c>
      <c r="U282" s="100">
        <f>IF(AND(SamplingData[[#This Row],[Total]]&lt;&gt; 0, NOT(ISBLANK(SamplingData[[#This Row],[Candidate 6]]))),(SamplingData[[#This Row],[Total]]+SamplingData[[#This Row],[Losing Candidate]]-SamplingData[[#This Row],[Candidate 6]])/(SamplingData[[#Totals],[Winning Candidate]]-SamplingData[[#Totals],[Candidate 6]]), 0)</f>
        <v>0</v>
      </c>
      <c r="V282" s="100">
        <f>IF(AND(SamplingData[[#This Row],[Total]]&lt;&gt; 0, NOT(ISBLANK(SamplingData[[#This Row],[Candidate 7]]))),(SamplingData[[#This Row],[Total]]+SamplingData[[#This Row],[Winning Candidate]]-SamplingData[[#This Row],[Candidate 7]])/(SamplingData[[#Totals],[Winning Candidate]]-SamplingData[[#Totals],[Candidate 7]]), 0)</f>
        <v>0</v>
      </c>
      <c r="W282" s="100">
        <f>IF(AND(SamplingData[[#This Row],[Total]]&lt;&gt; 0, NOT(ISBLANK(SamplingData[[#This Row],[Candidate 8]]))),(SamplingData[[#This Row],[Total]]+SamplingData[[#This Row],[Winning Candidate]]-SamplingData[[#This Row],[Candidate 8]])/(SamplingData[[#Totals],[Winning Candidate]]-SamplingData[[#Totals],[Candidate 8]]), 0)</f>
        <v>0</v>
      </c>
      <c r="X2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2" s="100">
        <f>MAX(SamplingData[[#This Row],[Error Bound (up) - Max. possible relative overstatement - Losing Candidate]:[Error Bound (up) - Max. possible relative overstatement - Candidate 12]])</f>
        <v>1.611781808988054E-2</v>
      </c>
      <c r="AC282" s="100">
        <f>IF(SamplingData[[#This Row],[Max Error Bound (up)]] = 0,0,SamplingData[[#This Row],[Max Error Bound (up)]]/SamplingData[[#Totals],[Max Error Bound (up)]])</f>
        <v>6.5415059361084334E-3</v>
      </c>
      <c r="AD282" s="104">
        <f>SUM($AC$5:AC282)</f>
        <v>0.58420426156440319</v>
      </c>
      <c r="AE282" s="100" t="str" cm="1">
        <f t="array" ref="AE282">IF(SamplingData[[#This Row],[up/U Selection Probability]] = 0, "Zero", TEXT(SamplingData[[#This Row],[Lower Range]], REPT("0",LEN('General Info'!$B$42))) &amp; " - " &amp; TEXT(SamplingData[[#This Row],[Upper Range]], REPT("0",LEN('General Info'!$B$42))))</f>
        <v>57766 - 58419</v>
      </c>
      <c r="AF282" s="100">
        <f>SamplingData[[#This Row],[Upper Range]]-SamplingData[[#This Row],[Span]]</f>
        <v>57766.275562829476</v>
      </c>
      <c r="AG282" s="100">
        <f>IF(ISNUMBER('General Info'!$B$42), ((SamplingData[[#This Row],[up/U Selection Probability]]) * 'General Info'!$B$44) - 1, 0)</f>
        <v>653.15059361084332</v>
      </c>
      <c r="AH282" s="100">
        <f>IF(ISNUMBER('General Info'!$B$42), (SamplingData[[#This Row],[Running (cumulative) sum]] * ('General Info'!$B$42 -'General Info'!$B$43 + 1)) + 'General Info'!$B$43 - 1, 0)</f>
        <v>58419.42615644032</v>
      </c>
      <c r="AI282" s="100" t="str">
        <f>IF(ISERROR(MATCH(SamplingData[[#This Row],[Batch by Type (p)]],SelectedPrecincts[Batch Name], 0)), "", INDEX(SelectedPrecincts[Draw], MATCH(SamplingData[[#This Row],[Batch by Type (p)]],SelectedPrecincts[Batch Name], 0)))</f>
        <v/>
      </c>
      <c r="AJ282" s="101">
        <f>IF(COUNTIF(SelectedPrecincts[Batch Name],SamplingData[[#This Row],[Batch by Type (p)]]) &lt;&gt; 0, COUNTIF(SelectedPrecincts[Batch Name],SamplingData[[#This Row],[Batch by Type (p)]]), 0)</f>
        <v>0</v>
      </c>
    </row>
    <row r="283" spans="1:36" ht="15" customHeight="1" x14ac:dyDescent="0.35">
      <c r="A283" s="98" t="s">
        <v>494</v>
      </c>
      <c r="B283" s="98">
        <v>42</v>
      </c>
      <c r="C283" s="98">
        <v>3</v>
      </c>
      <c r="D283" s="93">
        <v>1</v>
      </c>
      <c r="E283" s="93"/>
      <c r="F283" s="93"/>
      <c r="G283" s="97"/>
      <c r="H283" s="97"/>
      <c r="I283" s="93"/>
      <c r="J283" s="93"/>
      <c r="K283" s="93"/>
      <c r="L283" s="93"/>
      <c r="M283" s="93"/>
      <c r="N283" s="98">
        <v>0</v>
      </c>
      <c r="O283" s="98">
        <v>0</v>
      </c>
      <c r="P283" s="99">
        <f>SUM(SamplingData[[#This Row],[Winning Candidate]:[Under Votes]])</f>
        <v>46</v>
      </c>
      <c r="Q283" s="100">
        <f>IF(AND(SamplingData[[#This Row],[Total]]&lt;&gt; 0, NOT(ISBLANK(SamplingData[[#This Row],[Losing Candidate]]))),(SamplingData[[#This Row],[Total]]+SamplingData[[#This Row],[Winning Candidate]]-SamplingData[[#This Row],[Losing Candidate]])/(SamplingData[[#Totals],[Winning Candidate]]-SamplingData[[#Totals],[Losing Candidate]]), 0)</f>
        <v>5.3726060299601796E-3</v>
      </c>
      <c r="R283" s="100">
        <f>IF(AND(SamplingData[[#This Row],[Total]]&lt;&gt; 0, NOT(ISBLANK(SamplingData[[#This Row],[Candidate 3]]))),(SamplingData[[#This Row],[Total]]+SamplingData[[#This Row],[Winning Candidate]]-SamplingData[[#This Row],[Candidate 3]])/(SamplingData[[#Totals],[Winning Candidate]]-SamplingData[[#Totals],[Candidate 3]]), 0)</f>
        <v>4.9108150824113796E-3</v>
      </c>
      <c r="S283" s="100">
        <f>IF(AND(SamplingData[[#This Row],[Total]]&lt;&gt; 0, NOT(ISBLANK(SamplingData[[#This Row],[Candidate 4]]))),(SamplingData[[#This Row],[Total]]+SamplingData[[#This Row],[Winning Candidate]]-SamplingData[[#This Row],[Candidate 4]])/(SamplingData[[#Totals],[Winning Candidate]]-SamplingData[[#Totals],[Candidate 4]]), 0)</f>
        <v>0</v>
      </c>
      <c r="T283" s="100">
        <f>IF(AND(SamplingData[[#This Row],[Total]]&lt;&gt; 0, NOT(ISBLANK(SamplingData[[#This Row],[Candidate 5]]))),(SamplingData[[#This Row],[Total]]+SamplingData[[#This Row],[Winning Candidate]]-SamplingData[[#This Row],[Candidate 5]])/(SamplingData[[#Totals],[Winning Candidate]]-SamplingData[[#Totals],[Candidate 5]]), 0)</f>
        <v>0</v>
      </c>
      <c r="U283" s="100">
        <f>IF(AND(SamplingData[[#This Row],[Total]]&lt;&gt; 0, NOT(ISBLANK(SamplingData[[#This Row],[Candidate 6]]))),(SamplingData[[#This Row],[Total]]+SamplingData[[#This Row],[Losing Candidate]]-SamplingData[[#This Row],[Candidate 6]])/(SamplingData[[#Totals],[Winning Candidate]]-SamplingData[[#Totals],[Candidate 6]]), 0)</f>
        <v>0</v>
      </c>
      <c r="V283" s="100">
        <f>IF(AND(SamplingData[[#This Row],[Total]]&lt;&gt; 0, NOT(ISBLANK(SamplingData[[#This Row],[Candidate 7]]))),(SamplingData[[#This Row],[Total]]+SamplingData[[#This Row],[Winning Candidate]]-SamplingData[[#This Row],[Candidate 7]])/(SamplingData[[#Totals],[Winning Candidate]]-SamplingData[[#Totals],[Candidate 7]]), 0)</f>
        <v>0</v>
      </c>
      <c r="W283" s="100">
        <f>IF(AND(SamplingData[[#This Row],[Total]]&lt;&gt; 0, NOT(ISBLANK(SamplingData[[#This Row],[Candidate 8]]))),(SamplingData[[#This Row],[Total]]+SamplingData[[#This Row],[Winning Candidate]]-SamplingData[[#This Row],[Candidate 8]])/(SamplingData[[#Totals],[Winning Candidate]]-SamplingData[[#Totals],[Candidate 8]]), 0)</f>
        <v>0</v>
      </c>
      <c r="X2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3" s="100">
        <f>MAX(SamplingData[[#This Row],[Error Bound (up) - Max. possible relative overstatement - Losing Candidate]:[Error Bound (up) - Max. possible relative overstatement - Candidate 12]])</f>
        <v>5.3726060299601796E-3</v>
      </c>
      <c r="AC283" s="100">
        <f>IF(SamplingData[[#This Row],[Max Error Bound (up)]] = 0,0,SamplingData[[#This Row],[Max Error Bound (up)]]/SamplingData[[#Totals],[Max Error Bound (up)]])</f>
        <v>2.1805019787028111E-3</v>
      </c>
      <c r="AD283" s="104">
        <f>SUM($AC$5:AC283)</f>
        <v>0.58638476354310598</v>
      </c>
      <c r="AE283" s="100" t="str" cm="1">
        <f t="array" ref="AE283">IF(SamplingData[[#This Row],[up/U Selection Probability]] = 0, "Zero", TEXT(SamplingData[[#This Row],[Lower Range]], REPT("0",LEN('General Info'!$B$42))) &amp; " - " &amp; TEXT(SamplingData[[#This Row],[Upper Range]], REPT("0",LEN('General Info'!$B$42))))</f>
        <v>58420 - 58637</v>
      </c>
      <c r="AF283" s="100">
        <f>SamplingData[[#This Row],[Upper Range]]-SamplingData[[#This Row],[Span]]</f>
        <v>58420.426156440313</v>
      </c>
      <c r="AG283" s="100">
        <f>IF(ISNUMBER('General Info'!$B$42), ((SamplingData[[#This Row],[up/U Selection Probability]]) * 'General Info'!$B$44) - 1, 0)</f>
        <v>217.05019787028112</v>
      </c>
      <c r="AH283" s="100">
        <f>IF(ISNUMBER('General Info'!$B$42), (SamplingData[[#This Row],[Running (cumulative) sum]] * ('General Info'!$B$42 -'General Info'!$B$43 + 1)) + 'General Info'!$B$43 - 1, 0)</f>
        <v>58637.476354310595</v>
      </c>
      <c r="AI283" s="100" t="str">
        <f>IF(ISERROR(MATCH(SamplingData[[#This Row],[Batch by Type (p)]],SelectedPrecincts[Batch Name], 0)), "", INDEX(SelectedPrecincts[Draw], MATCH(SamplingData[[#This Row],[Batch by Type (p)]],SelectedPrecincts[Batch Name], 0)))</f>
        <v/>
      </c>
      <c r="AJ283" s="101">
        <f>IF(COUNTIF(SelectedPrecincts[Batch Name],SamplingData[[#This Row],[Batch by Type (p)]]) &lt;&gt; 0, COUNTIF(SelectedPrecincts[Batch Name],SamplingData[[#This Row],[Batch by Type (p)]]), 0)</f>
        <v>0</v>
      </c>
    </row>
    <row r="284" spans="1:36" ht="15" customHeight="1" x14ac:dyDescent="0.35">
      <c r="A284" s="98" t="s">
        <v>495</v>
      </c>
      <c r="B284" s="98">
        <v>4</v>
      </c>
      <c r="C284" s="98">
        <v>2</v>
      </c>
      <c r="D284" s="93">
        <v>1</v>
      </c>
      <c r="E284" s="93"/>
      <c r="F284" s="93"/>
      <c r="G284" s="97"/>
      <c r="H284" s="97"/>
      <c r="I284" s="93"/>
      <c r="J284" s="93"/>
      <c r="K284" s="93"/>
      <c r="L284" s="93"/>
      <c r="M284" s="93"/>
      <c r="N284" s="98">
        <v>0</v>
      </c>
      <c r="O284" s="98">
        <v>0</v>
      </c>
      <c r="P284" s="99">
        <f>SUM(SamplingData[[#This Row],[Winning Candidate]:[Under Votes]])</f>
        <v>7</v>
      </c>
      <c r="Q284" s="100">
        <f>IF(AND(SamplingData[[#This Row],[Total]]&lt;&gt; 0, NOT(ISBLANK(SamplingData[[#This Row],[Losing Candidate]]))),(SamplingData[[#This Row],[Total]]+SamplingData[[#This Row],[Winning Candidate]]-SamplingData[[#This Row],[Losing Candidate]])/(SamplingData[[#Totals],[Winning Candidate]]-SamplingData[[#Totals],[Losing Candidate]]), 0)</f>
        <v>5.6886416787813661E-4</v>
      </c>
      <c r="R284" s="100">
        <f>IF(AND(SamplingData[[#This Row],[Total]]&lt;&gt; 0, NOT(ISBLANK(SamplingData[[#This Row],[Candidate 3]]))),(SamplingData[[#This Row],[Total]]+SamplingData[[#This Row],[Winning Candidate]]-SamplingData[[#This Row],[Candidate 3]])/(SamplingData[[#Totals],[Winning Candidate]]-SamplingData[[#Totals],[Candidate 3]]), 0)</f>
        <v>5.6446150372544595E-4</v>
      </c>
      <c r="S284" s="100">
        <f>IF(AND(SamplingData[[#This Row],[Total]]&lt;&gt; 0, NOT(ISBLANK(SamplingData[[#This Row],[Candidate 4]]))),(SamplingData[[#This Row],[Total]]+SamplingData[[#This Row],[Winning Candidate]]-SamplingData[[#This Row],[Candidate 4]])/(SamplingData[[#Totals],[Winning Candidate]]-SamplingData[[#Totals],[Candidate 4]]), 0)</f>
        <v>0</v>
      </c>
      <c r="T284" s="100">
        <f>IF(AND(SamplingData[[#This Row],[Total]]&lt;&gt; 0, NOT(ISBLANK(SamplingData[[#This Row],[Candidate 5]]))),(SamplingData[[#This Row],[Total]]+SamplingData[[#This Row],[Winning Candidate]]-SamplingData[[#This Row],[Candidate 5]])/(SamplingData[[#Totals],[Winning Candidate]]-SamplingData[[#Totals],[Candidate 5]]), 0)</f>
        <v>0</v>
      </c>
      <c r="U284" s="100">
        <f>IF(AND(SamplingData[[#This Row],[Total]]&lt;&gt; 0, NOT(ISBLANK(SamplingData[[#This Row],[Candidate 6]]))),(SamplingData[[#This Row],[Total]]+SamplingData[[#This Row],[Losing Candidate]]-SamplingData[[#This Row],[Candidate 6]])/(SamplingData[[#Totals],[Winning Candidate]]-SamplingData[[#Totals],[Candidate 6]]), 0)</f>
        <v>0</v>
      </c>
      <c r="V284" s="100">
        <f>IF(AND(SamplingData[[#This Row],[Total]]&lt;&gt; 0, NOT(ISBLANK(SamplingData[[#This Row],[Candidate 7]]))),(SamplingData[[#This Row],[Total]]+SamplingData[[#This Row],[Winning Candidate]]-SamplingData[[#This Row],[Candidate 7]])/(SamplingData[[#Totals],[Winning Candidate]]-SamplingData[[#Totals],[Candidate 7]]), 0)</f>
        <v>0</v>
      </c>
      <c r="W284" s="100">
        <f>IF(AND(SamplingData[[#This Row],[Total]]&lt;&gt; 0, NOT(ISBLANK(SamplingData[[#This Row],[Candidate 8]]))),(SamplingData[[#This Row],[Total]]+SamplingData[[#This Row],[Winning Candidate]]-SamplingData[[#This Row],[Candidate 8]])/(SamplingData[[#Totals],[Winning Candidate]]-SamplingData[[#Totals],[Candidate 8]]), 0)</f>
        <v>0</v>
      </c>
      <c r="X2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4" s="100">
        <f>MAX(SamplingData[[#This Row],[Error Bound (up) - Max. possible relative overstatement - Losing Candidate]:[Error Bound (up) - Max. possible relative overstatement - Candidate 12]])</f>
        <v>5.6886416787813661E-4</v>
      </c>
      <c r="AC284" s="100">
        <f>IF(SamplingData[[#This Row],[Max Error Bound (up)]] = 0,0,SamplingData[[#This Row],[Max Error Bound (up)]]/SamplingData[[#Totals],[Max Error Bound (up)]])</f>
        <v>2.3087668009794468E-4</v>
      </c>
      <c r="AD284" s="104">
        <f>SUM($AC$5:AC284)</f>
        <v>0.58661564022320389</v>
      </c>
      <c r="AE284" s="100" t="str" cm="1">
        <f t="array" ref="AE284">IF(SamplingData[[#This Row],[up/U Selection Probability]] = 0, "Zero", TEXT(SamplingData[[#This Row],[Lower Range]], REPT("0",LEN('General Info'!$B$42))) &amp; " - " &amp; TEXT(SamplingData[[#This Row],[Upper Range]], REPT("0",LEN('General Info'!$B$42))))</f>
        <v>58638 - 58661</v>
      </c>
      <c r="AF284" s="100">
        <f>SamplingData[[#This Row],[Upper Range]]-SamplingData[[#This Row],[Span]]</f>
        <v>58638.476354310595</v>
      </c>
      <c r="AG284" s="100">
        <f>IF(ISNUMBER('General Info'!$B$42), ((SamplingData[[#This Row],[up/U Selection Probability]]) * 'General Info'!$B$44) - 1, 0)</f>
        <v>22.087668009794466</v>
      </c>
      <c r="AH284" s="100">
        <f>IF(ISNUMBER('General Info'!$B$42), (SamplingData[[#This Row],[Running (cumulative) sum]] * ('General Info'!$B$42 -'General Info'!$B$43 + 1)) + 'General Info'!$B$43 - 1, 0)</f>
        <v>58660.564022320388</v>
      </c>
      <c r="AI284" s="100" t="str">
        <f>IF(ISERROR(MATCH(SamplingData[[#This Row],[Batch by Type (p)]],SelectedPrecincts[Batch Name], 0)), "", INDEX(SelectedPrecincts[Draw], MATCH(SamplingData[[#This Row],[Batch by Type (p)]],SelectedPrecincts[Batch Name], 0)))</f>
        <v/>
      </c>
      <c r="AJ284" s="101">
        <f>IF(COUNTIF(SelectedPrecincts[Batch Name],SamplingData[[#This Row],[Batch by Type (p)]]) &lt;&gt; 0, COUNTIF(SelectedPrecincts[Batch Name],SamplingData[[#This Row],[Batch by Type (p)]]), 0)</f>
        <v>0</v>
      </c>
    </row>
    <row r="285" spans="1:36" ht="15" customHeight="1" x14ac:dyDescent="0.35">
      <c r="A285" s="98" t="s">
        <v>496</v>
      </c>
      <c r="B285" s="98">
        <v>170</v>
      </c>
      <c r="C285" s="98">
        <v>16</v>
      </c>
      <c r="D285" s="93">
        <v>6</v>
      </c>
      <c r="E285" s="93"/>
      <c r="F285" s="93"/>
      <c r="G285" s="97"/>
      <c r="H285" s="97"/>
      <c r="I285" s="93"/>
      <c r="J285" s="93"/>
      <c r="K285" s="93"/>
      <c r="L285" s="93"/>
      <c r="M285" s="93"/>
      <c r="N285" s="98">
        <v>0</v>
      </c>
      <c r="O285" s="98">
        <v>5</v>
      </c>
      <c r="P285" s="99">
        <f>SUM(SamplingData[[#This Row],[Winning Candidate]:[Under Votes]])</f>
        <v>197</v>
      </c>
      <c r="Q285" s="100">
        <f>IF(AND(SamplingData[[#This Row],[Total]]&lt;&gt; 0, NOT(ISBLANK(SamplingData[[#This Row],[Losing Candidate]]))),(SamplingData[[#This Row],[Total]]+SamplingData[[#This Row],[Winning Candidate]]-SamplingData[[#This Row],[Losing Candidate]])/(SamplingData[[#Totals],[Winning Candidate]]-SamplingData[[#Totals],[Losing Candidate]]), 0)</f>
        <v>2.2185702547247329E-2</v>
      </c>
      <c r="R285" s="100">
        <f>IF(AND(SamplingData[[#This Row],[Total]]&lt;&gt; 0, NOT(ISBLANK(SamplingData[[#This Row],[Candidate 3]]))),(SamplingData[[#This Row],[Total]]+SamplingData[[#This Row],[Winning Candidate]]-SamplingData[[#This Row],[Candidate 3]])/(SamplingData[[#Totals],[Winning Candidate]]-SamplingData[[#Totals],[Candidate 3]]), 0)</f>
        <v>2.0377060284488598E-2</v>
      </c>
      <c r="S285" s="100">
        <f>IF(AND(SamplingData[[#This Row],[Total]]&lt;&gt; 0, NOT(ISBLANK(SamplingData[[#This Row],[Candidate 4]]))),(SamplingData[[#This Row],[Total]]+SamplingData[[#This Row],[Winning Candidate]]-SamplingData[[#This Row],[Candidate 4]])/(SamplingData[[#Totals],[Winning Candidate]]-SamplingData[[#Totals],[Candidate 4]]), 0)</f>
        <v>0</v>
      </c>
      <c r="T285" s="100">
        <f>IF(AND(SamplingData[[#This Row],[Total]]&lt;&gt; 0, NOT(ISBLANK(SamplingData[[#This Row],[Candidate 5]]))),(SamplingData[[#This Row],[Total]]+SamplingData[[#This Row],[Winning Candidate]]-SamplingData[[#This Row],[Candidate 5]])/(SamplingData[[#Totals],[Winning Candidate]]-SamplingData[[#Totals],[Candidate 5]]), 0)</f>
        <v>0</v>
      </c>
      <c r="U285" s="100">
        <f>IF(AND(SamplingData[[#This Row],[Total]]&lt;&gt; 0, NOT(ISBLANK(SamplingData[[#This Row],[Candidate 6]]))),(SamplingData[[#This Row],[Total]]+SamplingData[[#This Row],[Losing Candidate]]-SamplingData[[#This Row],[Candidate 6]])/(SamplingData[[#Totals],[Winning Candidate]]-SamplingData[[#Totals],[Candidate 6]]), 0)</f>
        <v>0</v>
      </c>
      <c r="V285" s="100">
        <f>IF(AND(SamplingData[[#This Row],[Total]]&lt;&gt; 0, NOT(ISBLANK(SamplingData[[#This Row],[Candidate 7]]))),(SamplingData[[#This Row],[Total]]+SamplingData[[#This Row],[Winning Candidate]]-SamplingData[[#This Row],[Candidate 7]])/(SamplingData[[#Totals],[Winning Candidate]]-SamplingData[[#Totals],[Candidate 7]]), 0)</f>
        <v>0</v>
      </c>
      <c r="W285" s="100">
        <f>IF(AND(SamplingData[[#This Row],[Total]]&lt;&gt; 0, NOT(ISBLANK(SamplingData[[#This Row],[Candidate 8]]))),(SamplingData[[#This Row],[Total]]+SamplingData[[#This Row],[Winning Candidate]]-SamplingData[[#This Row],[Candidate 8]])/(SamplingData[[#Totals],[Winning Candidate]]-SamplingData[[#Totals],[Candidate 8]]), 0)</f>
        <v>0</v>
      </c>
      <c r="X28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5" s="100">
        <f>MAX(SamplingData[[#This Row],[Error Bound (up) - Max. possible relative overstatement - Losing Candidate]:[Error Bound (up) - Max. possible relative overstatement - Candidate 12]])</f>
        <v>2.2185702547247329E-2</v>
      </c>
      <c r="AC285" s="100">
        <f>IF(SamplingData[[#This Row],[Max Error Bound (up)]] = 0,0,SamplingData[[#This Row],[Max Error Bound (up)]]/SamplingData[[#Totals],[Max Error Bound (up)]])</f>
        <v>9.0041905238198439E-3</v>
      </c>
      <c r="AD285" s="104">
        <f>SUM($AC$5:AC285)</f>
        <v>0.59561983074702374</v>
      </c>
      <c r="AE285" s="100" t="str" cm="1">
        <f t="array" ref="AE285">IF(SamplingData[[#This Row],[up/U Selection Probability]] = 0, "Zero", TEXT(SamplingData[[#This Row],[Lower Range]], REPT("0",LEN('General Info'!$B$42))) &amp; " - " &amp; TEXT(SamplingData[[#This Row],[Upper Range]], REPT("0",LEN('General Info'!$B$42))))</f>
        <v>58662 - 59561</v>
      </c>
      <c r="AF285" s="100">
        <f>SamplingData[[#This Row],[Upper Range]]-SamplingData[[#This Row],[Span]]</f>
        <v>58661.564022320388</v>
      </c>
      <c r="AG285" s="100">
        <f>IF(ISNUMBER('General Info'!$B$42), ((SamplingData[[#This Row],[up/U Selection Probability]]) * 'General Info'!$B$44) - 1, 0)</f>
        <v>899.41905238198433</v>
      </c>
      <c r="AH285" s="100">
        <f>IF(ISNUMBER('General Info'!$B$42), (SamplingData[[#This Row],[Running (cumulative) sum]] * ('General Info'!$B$42 -'General Info'!$B$43 + 1)) + 'General Info'!$B$43 - 1, 0)</f>
        <v>59560.983074702373</v>
      </c>
      <c r="AI285" s="100" t="str">
        <f>IF(ISERROR(MATCH(SamplingData[[#This Row],[Batch by Type (p)]],SelectedPrecincts[Batch Name], 0)), "", INDEX(SelectedPrecincts[Draw], MATCH(SamplingData[[#This Row],[Batch by Type (p)]],SelectedPrecincts[Batch Name], 0)))</f>
        <v/>
      </c>
      <c r="AJ285" s="101">
        <f>IF(COUNTIF(SelectedPrecincts[Batch Name],SamplingData[[#This Row],[Batch by Type (p)]]) &lt;&gt; 0, COUNTIF(SelectedPrecincts[Batch Name],SamplingData[[#This Row],[Batch by Type (p)]]), 0)</f>
        <v>0</v>
      </c>
    </row>
    <row r="286" spans="1:36" ht="15" customHeight="1" x14ac:dyDescent="0.35">
      <c r="A286" s="98" t="s">
        <v>497</v>
      </c>
      <c r="B286" s="98">
        <v>127</v>
      </c>
      <c r="C286" s="98">
        <v>6</v>
      </c>
      <c r="D286" s="93">
        <v>0</v>
      </c>
      <c r="E286" s="93"/>
      <c r="F286" s="93"/>
      <c r="G286" s="97"/>
      <c r="H286" s="97"/>
      <c r="I286" s="93"/>
      <c r="J286" s="93"/>
      <c r="K286" s="93"/>
      <c r="L286" s="93"/>
      <c r="M286" s="93"/>
      <c r="N286" s="98">
        <v>0</v>
      </c>
      <c r="O286" s="98">
        <v>0</v>
      </c>
      <c r="P286" s="99">
        <f>SUM(SamplingData[[#This Row],[Winning Candidate]:[Under Votes]])</f>
        <v>133</v>
      </c>
      <c r="Q286" s="100">
        <f>IF(AND(SamplingData[[#This Row],[Total]]&lt;&gt; 0, NOT(ISBLANK(SamplingData[[#This Row],[Losing Candidate]]))),(SamplingData[[#This Row],[Total]]+SamplingData[[#This Row],[Winning Candidate]]-SamplingData[[#This Row],[Losing Candidate]])/(SamplingData[[#Totals],[Winning Candidate]]-SamplingData[[#Totals],[Losing Candidate]]), 0)</f>
        <v>1.6054610960116303E-2</v>
      </c>
      <c r="R286" s="100">
        <f>IF(AND(SamplingData[[#This Row],[Total]]&lt;&gt; 0, NOT(ISBLANK(SamplingData[[#This Row],[Candidate 3]]))),(SamplingData[[#This Row],[Total]]+SamplingData[[#This Row],[Winning Candidate]]-SamplingData[[#This Row],[Candidate 3]])/(SamplingData[[#Totals],[Winning Candidate]]-SamplingData[[#Totals],[Candidate 3]]), 0)</f>
        <v>1.4675999096861594E-2</v>
      </c>
      <c r="S286" s="100">
        <f>IF(AND(SamplingData[[#This Row],[Total]]&lt;&gt; 0, NOT(ISBLANK(SamplingData[[#This Row],[Candidate 4]]))),(SamplingData[[#This Row],[Total]]+SamplingData[[#This Row],[Winning Candidate]]-SamplingData[[#This Row],[Candidate 4]])/(SamplingData[[#Totals],[Winning Candidate]]-SamplingData[[#Totals],[Candidate 4]]), 0)</f>
        <v>0</v>
      </c>
      <c r="T286" s="100">
        <f>IF(AND(SamplingData[[#This Row],[Total]]&lt;&gt; 0, NOT(ISBLANK(SamplingData[[#This Row],[Candidate 5]]))),(SamplingData[[#This Row],[Total]]+SamplingData[[#This Row],[Winning Candidate]]-SamplingData[[#This Row],[Candidate 5]])/(SamplingData[[#Totals],[Winning Candidate]]-SamplingData[[#Totals],[Candidate 5]]), 0)</f>
        <v>0</v>
      </c>
      <c r="U286" s="100">
        <f>IF(AND(SamplingData[[#This Row],[Total]]&lt;&gt; 0, NOT(ISBLANK(SamplingData[[#This Row],[Candidate 6]]))),(SamplingData[[#This Row],[Total]]+SamplingData[[#This Row],[Losing Candidate]]-SamplingData[[#This Row],[Candidate 6]])/(SamplingData[[#Totals],[Winning Candidate]]-SamplingData[[#Totals],[Candidate 6]]), 0)</f>
        <v>0</v>
      </c>
      <c r="V286" s="100">
        <f>IF(AND(SamplingData[[#This Row],[Total]]&lt;&gt; 0, NOT(ISBLANK(SamplingData[[#This Row],[Candidate 7]]))),(SamplingData[[#This Row],[Total]]+SamplingData[[#This Row],[Winning Candidate]]-SamplingData[[#This Row],[Candidate 7]])/(SamplingData[[#Totals],[Winning Candidate]]-SamplingData[[#Totals],[Candidate 7]]), 0)</f>
        <v>0</v>
      </c>
      <c r="W286" s="100">
        <f>IF(AND(SamplingData[[#This Row],[Total]]&lt;&gt; 0, NOT(ISBLANK(SamplingData[[#This Row],[Candidate 8]]))),(SamplingData[[#This Row],[Total]]+SamplingData[[#This Row],[Winning Candidate]]-SamplingData[[#This Row],[Candidate 8]])/(SamplingData[[#Totals],[Winning Candidate]]-SamplingData[[#Totals],[Candidate 8]]), 0)</f>
        <v>0</v>
      </c>
      <c r="X28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6" s="100">
        <f>MAX(SamplingData[[#This Row],[Error Bound (up) - Max. possible relative overstatement - Losing Candidate]:[Error Bound (up) - Max. possible relative overstatement - Candidate 12]])</f>
        <v>1.6054610960116303E-2</v>
      </c>
      <c r="AC286" s="100">
        <f>IF(SamplingData[[#This Row],[Max Error Bound (up)]] = 0,0,SamplingData[[#This Row],[Max Error Bound (up)]]/SamplingData[[#Totals],[Max Error Bound (up)]])</f>
        <v>6.5158529716531069E-3</v>
      </c>
      <c r="AD286" s="104">
        <f>SUM($AC$5:AC286)</f>
        <v>0.60213568371867687</v>
      </c>
      <c r="AE286" s="100" t="str" cm="1">
        <f t="array" ref="AE286">IF(SamplingData[[#This Row],[up/U Selection Probability]] = 0, "Zero", TEXT(SamplingData[[#This Row],[Lower Range]], REPT("0",LEN('General Info'!$B$42))) &amp; " - " &amp; TEXT(SamplingData[[#This Row],[Upper Range]], REPT("0",LEN('General Info'!$B$42))))</f>
        <v>59562 - 60213</v>
      </c>
      <c r="AF286" s="100">
        <f>SamplingData[[#This Row],[Upper Range]]-SamplingData[[#This Row],[Span]]</f>
        <v>59561.983074702381</v>
      </c>
      <c r="AG286" s="100">
        <f>IF(ISNUMBER('General Info'!$B$42), ((SamplingData[[#This Row],[up/U Selection Probability]]) * 'General Info'!$B$44) - 1, 0)</f>
        <v>650.58529716531064</v>
      </c>
      <c r="AH286" s="100">
        <f>IF(ISNUMBER('General Info'!$B$42), (SamplingData[[#This Row],[Running (cumulative) sum]] * ('General Info'!$B$42 -'General Info'!$B$43 + 1)) + 'General Info'!$B$43 - 1, 0)</f>
        <v>60212.568371867688</v>
      </c>
      <c r="AI286" s="100" t="str">
        <f>IF(ISERROR(MATCH(SamplingData[[#This Row],[Batch by Type (p)]],SelectedPrecincts[Batch Name], 0)), "", INDEX(SelectedPrecincts[Draw], MATCH(SamplingData[[#This Row],[Batch by Type (p)]],SelectedPrecincts[Batch Name], 0)))</f>
        <v/>
      </c>
      <c r="AJ286" s="101">
        <f>IF(COUNTIF(SelectedPrecincts[Batch Name],SamplingData[[#This Row],[Batch by Type (p)]]) &lt;&gt; 0, COUNTIF(SelectedPrecincts[Batch Name],SamplingData[[#This Row],[Batch by Type (p)]]), 0)</f>
        <v>0</v>
      </c>
    </row>
    <row r="287" spans="1:36" ht="15" customHeight="1" x14ac:dyDescent="0.35">
      <c r="A287" s="98" t="s">
        <v>498</v>
      </c>
      <c r="B287" s="98">
        <v>62</v>
      </c>
      <c r="C287" s="98">
        <v>8</v>
      </c>
      <c r="D287" s="93">
        <v>7</v>
      </c>
      <c r="E287" s="93"/>
      <c r="F287" s="93"/>
      <c r="G287" s="97"/>
      <c r="H287" s="97"/>
      <c r="I287" s="93"/>
      <c r="J287" s="93"/>
      <c r="K287" s="93"/>
      <c r="L287" s="93"/>
      <c r="M287" s="93"/>
      <c r="N287" s="98">
        <v>0</v>
      </c>
      <c r="O287" s="98">
        <v>1</v>
      </c>
      <c r="P287" s="99">
        <f>SUM(SamplingData[[#This Row],[Winning Candidate]:[Under Votes]])</f>
        <v>78</v>
      </c>
      <c r="Q287" s="100">
        <f>IF(AND(SamplingData[[#This Row],[Total]]&lt;&gt; 0, NOT(ISBLANK(SamplingData[[#This Row],[Losing Candidate]]))),(SamplingData[[#This Row],[Total]]+SamplingData[[#This Row],[Winning Candidate]]-SamplingData[[#This Row],[Losing Candidate]])/(SamplingData[[#Totals],[Winning Candidate]]-SamplingData[[#Totals],[Losing Candidate]]), 0)</f>
        <v>8.3433411288793384E-3</v>
      </c>
      <c r="R287" s="100">
        <f>IF(AND(SamplingData[[#This Row],[Total]]&lt;&gt; 0, NOT(ISBLANK(SamplingData[[#This Row],[Candidate 3]]))),(SamplingData[[#This Row],[Total]]+SamplingData[[#This Row],[Winning Candidate]]-SamplingData[[#This Row],[Candidate 3]])/(SamplingData[[#Totals],[Winning Candidate]]-SamplingData[[#Totals],[Candidate 3]]), 0)</f>
        <v>7.5073379995484312E-3</v>
      </c>
      <c r="S287" s="100">
        <f>IF(AND(SamplingData[[#This Row],[Total]]&lt;&gt; 0, NOT(ISBLANK(SamplingData[[#This Row],[Candidate 4]]))),(SamplingData[[#This Row],[Total]]+SamplingData[[#This Row],[Winning Candidate]]-SamplingData[[#This Row],[Candidate 4]])/(SamplingData[[#Totals],[Winning Candidate]]-SamplingData[[#Totals],[Candidate 4]]), 0)</f>
        <v>0</v>
      </c>
      <c r="T287" s="100">
        <f>IF(AND(SamplingData[[#This Row],[Total]]&lt;&gt; 0, NOT(ISBLANK(SamplingData[[#This Row],[Candidate 5]]))),(SamplingData[[#This Row],[Total]]+SamplingData[[#This Row],[Winning Candidate]]-SamplingData[[#This Row],[Candidate 5]])/(SamplingData[[#Totals],[Winning Candidate]]-SamplingData[[#Totals],[Candidate 5]]), 0)</f>
        <v>0</v>
      </c>
      <c r="U287" s="100">
        <f>IF(AND(SamplingData[[#This Row],[Total]]&lt;&gt; 0, NOT(ISBLANK(SamplingData[[#This Row],[Candidate 6]]))),(SamplingData[[#This Row],[Total]]+SamplingData[[#This Row],[Losing Candidate]]-SamplingData[[#This Row],[Candidate 6]])/(SamplingData[[#Totals],[Winning Candidate]]-SamplingData[[#Totals],[Candidate 6]]), 0)</f>
        <v>0</v>
      </c>
      <c r="V287" s="100">
        <f>IF(AND(SamplingData[[#This Row],[Total]]&lt;&gt; 0, NOT(ISBLANK(SamplingData[[#This Row],[Candidate 7]]))),(SamplingData[[#This Row],[Total]]+SamplingData[[#This Row],[Winning Candidate]]-SamplingData[[#This Row],[Candidate 7]])/(SamplingData[[#Totals],[Winning Candidate]]-SamplingData[[#Totals],[Candidate 7]]), 0)</f>
        <v>0</v>
      </c>
      <c r="W287" s="100">
        <f>IF(AND(SamplingData[[#This Row],[Total]]&lt;&gt; 0, NOT(ISBLANK(SamplingData[[#This Row],[Candidate 8]]))),(SamplingData[[#This Row],[Total]]+SamplingData[[#This Row],[Winning Candidate]]-SamplingData[[#This Row],[Candidate 8]])/(SamplingData[[#Totals],[Winning Candidate]]-SamplingData[[#Totals],[Candidate 8]]), 0)</f>
        <v>0</v>
      </c>
      <c r="X28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7" s="100">
        <f>MAX(SamplingData[[#This Row],[Error Bound (up) - Max. possible relative overstatement - Losing Candidate]:[Error Bound (up) - Max. possible relative overstatement - Candidate 12]])</f>
        <v>8.3433411288793384E-3</v>
      </c>
      <c r="AC287" s="100">
        <f>IF(SamplingData[[#This Row],[Max Error Bound (up)]] = 0,0,SamplingData[[#This Row],[Max Error Bound (up)]]/SamplingData[[#Totals],[Max Error Bound (up)]])</f>
        <v>3.3861913081031894E-3</v>
      </c>
      <c r="AD287" s="104">
        <f>SUM($AC$5:AC287)</f>
        <v>0.60552187502678001</v>
      </c>
      <c r="AE287" s="100" t="str" cm="1">
        <f t="array" ref="AE287">IF(SamplingData[[#This Row],[up/U Selection Probability]] = 0, "Zero", TEXT(SamplingData[[#This Row],[Lower Range]], REPT("0",LEN('General Info'!$B$42))) &amp; " - " &amp; TEXT(SamplingData[[#This Row],[Upper Range]], REPT("0",LEN('General Info'!$B$42))))</f>
        <v>60214 - 60551</v>
      </c>
      <c r="AF287" s="100">
        <f>SamplingData[[#This Row],[Upper Range]]-SamplingData[[#This Row],[Span]]</f>
        <v>60213.568371867681</v>
      </c>
      <c r="AG287" s="100">
        <f>IF(ISNUMBER('General Info'!$B$42), ((SamplingData[[#This Row],[up/U Selection Probability]]) * 'General Info'!$B$44) - 1, 0)</f>
        <v>337.61913081031895</v>
      </c>
      <c r="AH287" s="100">
        <f>IF(ISNUMBER('General Info'!$B$42), (SamplingData[[#This Row],[Running (cumulative) sum]] * ('General Info'!$B$42 -'General Info'!$B$43 + 1)) + 'General Info'!$B$43 - 1, 0)</f>
        <v>60551.187502678004</v>
      </c>
      <c r="AI287" s="100" t="str">
        <f>IF(ISERROR(MATCH(SamplingData[[#This Row],[Batch by Type (p)]],SelectedPrecincts[Batch Name], 0)), "", INDEX(SelectedPrecincts[Draw], MATCH(SamplingData[[#This Row],[Batch by Type (p)]],SelectedPrecincts[Batch Name], 0)))</f>
        <v/>
      </c>
      <c r="AJ287" s="101">
        <f>IF(COUNTIF(SelectedPrecincts[Batch Name],SamplingData[[#This Row],[Batch by Type (p)]]) &lt;&gt; 0, COUNTIF(SelectedPrecincts[Batch Name],SamplingData[[#This Row],[Batch by Type (p)]]), 0)</f>
        <v>0</v>
      </c>
    </row>
    <row r="288" spans="1:36" ht="15" customHeight="1" x14ac:dyDescent="0.35">
      <c r="A288" s="98" t="s">
        <v>499</v>
      </c>
      <c r="B288" s="98">
        <v>184</v>
      </c>
      <c r="C288" s="98">
        <v>9</v>
      </c>
      <c r="D288" s="93">
        <v>2</v>
      </c>
      <c r="E288" s="93"/>
      <c r="F288" s="93"/>
      <c r="G288" s="97"/>
      <c r="H288" s="97"/>
      <c r="I288" s="93"/>
      <c r="J288" s="93"/>
      <c r="K288" s="93"/>
      <c r="L288" s="93"/>
      <c r="M288" s="93"/>
      <c r="N288" s="98">
        <v>0</v>
      </c>
      <c r="O288" s="98">
        <v>4</v>
      </c>
      <c r="P288" s="99">
        <f>SUM(SamplingData[[#This Row],[Winning Candidate]:[Under Votes]])</f>
        <v>199</v>
      </c>
      <c r="Q288" s="100">
        <f>IF(AND(SamplingData[[#This Row],[Total]]&lt;&gt; 0, NOT(ISBLANK(SamplingData[[#This Row],[Losing Candidate]]))),(SamplingData[[#This Row],[Total]]+SamplingData[[#This Row],[Winning Candidate]]-SamplingData[[#This Row],[Losing Candidate]])/(SamplingData[[#Totals],[Winning Candidate]]-SamplingData[[#Totals],[Losing Candidate]]), 0)</f>
        <v>2.363946653182479E-2</v>
      </c>
      <c r="R288" s="100">
        <f>IF(AND(SamplingData[[#This Row],[Total]]&lt;&gt; 0, NOT(ISBLANK(SamplingData[[#This Row],[Candidate 3]]))),(SamplingData[[#This Row],[Total]]+SamplingData[[#This Row],[Winning Candidate]]-SamplingData[[#This Row],[Candidate 3]])/(SamplingData[[#Totals],[Winning Candidate]]-SamplingData[[#Totals],[Candidate 3]]), 0)</f>
        <v>2.1505983291939489E-2</v>
      </c>
      <c r="S288" s="100">
        <f>IF(AND(SamplingData[[#This Row],[Total]]&lt;&gt; 0, NOT(ISBLANK(SamplingData[[#This Row],[Candidate 4]]))),(SamplingData[[#This Row],[Total]]+SamplingData[[#This Row],[Winning Candidate]]-SamplingData[[#This Row],[Candidate 4]])/(SamplingData[[#Totals],[Winning Candidate]]-SamplingData[[#Totals],[Candidate 4]]), 0)</f>
        <v>0</v>
      </c>
      <c r="T288" s="100">
        <f>IF(AND(SamplingData[[#This Row],[Total]]&lt;&gt; 0, NOT(ISBLANK(SamplingData[[#This Row],[Candidate 5]]))),(SamplingData[[#This Row],[Total]]+SamplingData[[#This Row],[Winning Candidate]]-SamplingData[[#This Row],[Candidate 5]])/(SamplingData[[#Totals],[Winning Candidate]]-SamplingData[[#Totals],[Candidate 5]]), 0)</f>
        <v>0</v>
      </c>
      <c r="U288" s="100">
        <f>IF(AND(SamplingData[[#This Row],[Total]]&lt;&gt; 0, NOT(ISBLANK(SamplingData[[#This Row],[Candidate 6]]))),(SamplingData[[#This Row],[Total]]+SamplingData[[#This Row],[Losing Candidate]]-SamplingData[[#This Row],[Candidate 6]])/(SamplingData[[#Totals],[Winning Candidate]]-SamplingData[[#Totals],[Candidate 6]]), 0)</f>
        <v>0</v>
      </c>
      <c r="V288" s="100">
        <f>IF(AND(SamplingData[[#This Row],[Total]]&lt;&gt; 0, NOT(ISBLANK(SamplingData[[#This Row],[Candidate 7]]))),(SamplingData[[#This Row],[Total]]+SamplingData[[#This Row],[Winning Candidate]]-SamplingData[[#This Row],[Candidate 7]])/(SamplingData[[#Totals],[Winning Candidate]]-SamplingData[[#Totals],[Candidate 7]]), 0)</f>
        <v>0</v>
      </c>
      <c r="W288" s="100">
        <f>IF(AND(SamplingData[[#This Row],[Total]]&lt;&gt; 0, NOT(ISBLANK(SamplingData[[#This Row],[Candidate 8]]))),(SamplingData[[#This Row],[Total]]+SamplingData[[#This Row],[Winning Candidate]]-SamplingData[[#This Row],[Candidate 8]])/(SamplingData[[#Totals],[Winning Candidate]]-SamplingData[[#Totals],[Candidate 8]]), 0)</f>
        <v>0</v>
      </c>
      <c r="X28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8" s="100">
        <f>MAX(SamplingData[[#This Row],[Error Bound (up) - Max. possible relative overstatement - Losing Candidate]:[Error Bound (up) - Max. possible relative overstatement - Candidate 12]])</f>
        <v>2.363946653182479E-2</v>
      </c>
      <c r="AC288" s="100">
        <f>IF(SamplingData[[#This Row],[Max Error Bound (up)]] = 0,0,SamplingData[[#This Row],[Max Error Bound (up)]]/SamplingData[[#Totals],[Max Error Bound (up)]])</f>
        <v>9.5942087062923682E-3</v>
      </c>
      <c r="AD288" s="104">
        <f>SUM($AC$5:AC288)</f>
        <v>0.61511608373307236</v>
      </c>
      <c r="AE288" s="100" t="str" cm="1">
        <f t="array" ref="AE288">IF(SamplingData[[#This Row],[up/U Selection Probability]] = 0, "Zero", TEXT(SamplingData[[#This Row],[Lower Range]], REPT("0",LEN('General Info'!$B$42))) &amp; " - " &amp; TEXT(SamplingData[[#This Row],[Upper Range]], REPT("0",LEN('General Info'!$B$42))))</f>
        <v>60552 - 61511</v>
      </c>
      <c r="AF288" s="100">
        <f>SamplingData[[#This Row],[Upper Range]]-SamplingData[[#This Row],[Span]]</f>
        <v>60552.187502678004</v>
      </c>
      <c r="AG288" s="100">
        <f>IF(ISNUMBER('General Info'!$B$42), ((SamplingData[[#This Row],[up/U Selection Probability]]) * 'General Info'!$B$44) - 1, 0)</f>
        <v>958.42087062923679</v>
      </c>
      <c r="AH288" s="100">
        <f>IF(ISNUMBER('General Info'!$B$42), (SamplingData[[#This Row],[Running (cumulative) sum]] * ('General Info'!$B$42 -'General Info'!$B$43 + 1)) + 'General Info'!$B$43 - 1, 0)</f>
        <v>61510.608373307237</v>
      </c>
      <c r="AI288" s="100" t="str">
        <f>IF(ISERROR(MATCH(SamplingData[[#This Row],[Batch by Type (p)]],SelectedPrecincts[Batch Name], 0)), "", INDEX(SelectedPrecincts[Draw], MATCH(SamplingData[[#This Row],[Batch by Type (p)]],SelectedPrecincts[Batch Name], 0)))</f>
        <v/>
      </c>
      <c r="AJ288" s="101">
        <f>IF(COUNTIF(SelectedPrecincts[Batch Name],SamplingData[[#This Row],[Batch by Type (p)]]) &lt;&gt; 0, COUNTIF(SelectedPrecincts[Batch Name],SamplingData[[#This Row],[Batch by Type (p)]]), 0)</f>
        <v>0</v>
      </c>
    </row>
    <row r="289" spans="1:36" ht="15" customHeight="1" x14ac:dyDescent="0.35">
      <c r="A289" s="98" t="s">
        <v>500</v>
      </c>
      <c r="B289" s="98">
        <v>149</v>
      </c>
      <c r="C289" s="98">
        <v>14</v>
      </c>
      <c r="D289" s="93">
        <v>8</v>
      </c>
      <c r="E289" s="93"/>
      <c r="F289" s="93"/>
      <c r="G289" s="97"/>
      <c r="H289" s="97"/>
      <c r="I289" s="93"/>
      <c r="J289" s="93"/>
      <c r="K289" s="93"/>
      <c r="L289" s="93"/>
      <c r="M289" s="93"/>
      <c r="N289" s="98">
        <v>0</v>
      </c>
      <c r="O289" s="98">
        <v>0</v>
      </c>
      <c r="P289" s="99">
        <f>SUM(SamplingData[[#This Row],[Winning Candidate]:[Under Votes]])</f>
        <v>171</v>
      </c>
      <c r="Q289" s="100">
        <f>IF(AND(SamplingData[[#This Row],[Total]]&lt;&gt; 0, NOT(ISBLANK(SamplingData[[#This Row],[Losing Candidate]]))),(SamplingData[[#This Row],[Total]]+SamplingData[[#This Row],[Winning Candidate]]-SamplingData[[#This Row],[Losing Candidate]])/(SamplingData[[#Totals],[Winning Candidate]]-SamplingData[[#Totals],[Losing Candidate]]), 0)</f>
        <v>1.9341381707856646E-2</v>
      </c>
      <c r="R289" s="100">
        <f>IF(AND(SamplingData[[#This Row],[Total]]&lt;&gt; 0, NOT(ISBLANK(SamplingData[[#This Row],[Candidate 3]]))),(SamplingData[[#This Row],[Total]]+SamplingData[[#This Row],[Winning Candidate]]-SamplingData[[#This Row],[Candidate 3]])/(SamplingData[[#Totals],[Winning Candidate]]-SamplingData[[#Totals],[Candidate 3]]), 0)</f>
        <v>1.7611198916233913E-2</v>
      </c>
      <c r="S289" s="100">
        <f>IF(AND(SamplingData[[#This Row],[Total]]&lt;&gt; 0, NOT(ISBLANK(SamplingData[[#This Row],[Candidate 4]]))),(SamplingData[[#This Row],[Total]]+SamplingData[[#This Row],[Winning Candidate]]-SamplingData[[#This Row],[Candidate 4]])/(SamplingData[[#Totals],[Winning Candidate]]-SamplingData[[#Totals],[Candidate 4]]), 0)</f>
        <v>0</v>
      </c>
      <c r="T289" s="100">
        <f>IF(AND(SamplingData[[#This Row],[Total]]&lt;&gt; 0, NOT(ISBLANK(SamplingData[[#This Row],[Candidate 5]]))),(SamplingData[[#This Row],[Total]]+SamplingData[[#This Row],[Winning Candidate]]-SamplingData[[#This Row],[Candidate 5]])/(SamplingData[[#Totals],[Winning Candidate]]-SamplingData[[#Totals],[Candidate 5]]), 0)</f>
        <v>0</v>
      </c>
      <c r="U289" s="100">
        <f>IF(AND(SamplingData[[#This Row],[Total]]&lt;&gt; 0, NOT(ISBLANK(SamplingData[[#This Row],[Candidate 6]]))),(SamplingData[[#This Row],[Total]]+SamplingData[[#This Row],[Losing Candidate]]-SamplingData[[#This Row],[Candidate 6]])/(SamplingData[[#Totals],[Winning Candidate]]-SamplingData[[#Totals],[Candidate 6]]), 0)</f>
        <v>0</v>
      </c>
      <c r="V289" s="100">
        <f>IF(AND(SamplingData[[#This Row],[Total]]&lt;&gt; 0, NOT(ISBLANK(SamplingData[[#This Row],[Candidate 7]]))),(SamplingData[[#This Row],[Total]]+SamplingData[[#This Row],[Winning Candidate]]-SamplingData[[#This Row],[Candidate 7]])/(SamplingData[[#Totals],[Winning Candidate]]-SamplingData[[#Totals],[Candidate 7]]), 0)</f>
        <v>0</v>
      </c>
      <c r="W289" s="100">
        <f>IF(AND(SamplingData[[#This Row],[Total]]&lt;&gt; 0, NOT(ISBLANK(SamplingData[[#This Row],[Candidate 8]]))),(SamplingData[[#This Row],[Total]]+SamplingData[[#This Row],[Winning Candidate]]-SamplingData[[#This Row],[Candidate 8]])/(SamplingData[[#Totals],[Winning Candidate]]-SamplingData[[#Totals],[Candidate 8]]), 0)</f>
        <v>0</v>
      </c>
      <c r="X28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9" s="100">
        <f>MAX(SamplingData[[#This Row],[Error Bound (up) - Max. possible relative overstatement - Losing Candidate]:[Error Bound (up) - Max. possible relative overstatement - Candidate 12]])</f>
        <v>1.9341381707856646E-2</v>
      </c>
      <c r="AC289" s="100">
        <f>IF(SamplingData[[#This Row],[Max Error Bound (up)]] = 0,0,SamplingData[[#This Row],[Max Error Bound (up)]]/SamplingData[[#Totals],[Max Error Bound (up)]])</f>
        <v>7.849807123330119E-3</v>
      </c>
      <c r="AD289" s="104">
        <f>SUM($AC$5:AC289)</f>
        <v>0.62296589085640253</v>
      </c>
      <c r="AE289" s="100" t="str" cm="1">
        <f t="array" ref="AE289">IF(SamplingData[[#This Row],[up/U Selection Probability]] = 0, "Zero", TEXT(SamplingData[[#This Row],[Lower Range]], REPT("0",LEN('General Info'!$B$42))) &amp; " - " &amp; TEXT(SamplingData[[#This Row],[Upper Range]], REPT("0",LEN('General Info'!$B$42))))</f>
        <v>61512 - 62296</v>
      </c>
      <c r="AF289" s="100">
        <f>SamplingData[[#This Row],[Upper Range]]-SamplingData[[#This Row],[Span]]</f>
        <v>61511.608373307245</v>
      </c>
      <c r="AG289" s="100">
        <f>IF(ISNUMBER('General Info'!$B$42), ((SamplingData[[#This Row],[up/U Selection Probability]]) * 'General Info'!$B$44) - 1, 0)</f>
        <v>783.98071233301187</v>
      </c>
      <c r="AH289" s="100">
        <f>IF(ISNUMBER('General Info'!$B$42), (SamplingData[[#This Row],[Running (cumulative) sum]] * ('General Info'!$B$42 -'General Info'!$B$43 + 1)) + 'General Info'!$B$43 - 1, 0)</f>
        <v>62295.589085640255</v>
      </c>
      <c r="AI289" s="100" t="str">
        <f>IF(ISERROR(MATCH(SamplingData[[#This Row],[Batch by Type (p)]],SelectedPrecincts[Batch Name], 0)), "", INDEX(SelectedPrecincts[Draw], MATCH(SamplingData[[#This Row],[Batch by Type (p)]],SelectedPrecincts[Batch Name], 0)))</f>
        <v/>
      </c>
      <c r="AJ289" s="101">
        <f>IF(COUNTIF(SelectedPrecincts[Batch Name],SamplingData[[#This Row],[Batch by Type (p)]]) &lt;&gt; 0, COUNTIF(SelectedPrecincts[Batch Name],SamplingData[[#This Row],[Batch by Type (p)]]), 0)</f>
        <v>0</v>
      </c>
    </row>
    <row r="290" spans="1:36" ht="15" customHeight="1" x14ac:dyDescent="0.35">
      <c r="A290" s="98" t="s">
        <v>501</v>
      </c>
      <c r="B290" s="98">
        <v>156</v>
      </c>
      <c r="C290" s="98">
        <v>5</v>
      </c>
      <c r="D290" s="93">
        <v>7</v>
      </c>
      <c r="E290" s="93"/>
      <c r="F290" s="93"/>
      <c r="G290" s="97"/>
      <c r="H290" s="97"/>
      <c r="I290" s="93"/>
      <c r="J290" s="93"/>
      <c r="K290" s="93"/>
      <c r="L290" s="93"/>
      <c r="M290" s="93"/>
      <c r="N290" s="98">
        <v>0</v>
      </c>
      <c r="O290" s="98">
        <v>0</v>
      </c>
      <c r="P290" s="99">
        <f>SUM(SamplingData[[#This Row],[Winning Candidate]:[Under Votes]])</f>
        <v>168</v>
      </c>
      <c r="Q290" s="100">
        <f>IF(AND(SamplingData[[#This Row],[Total]]&lt;&gt; 0, NOT(ISBLANK(SamplingData[[#This Row],[Losing Candidate]]))),(SamplingData[[#This Row],[Total]]+SamplingData[[#This Row],[Winning Candidate]]-SamplingData[[#This Row],[Losing Candidate]])/(SamplingData[[#Totals],[Winning Candidate]]-SamplingData[[#Totals],[Losing Candidate]]), 0)</f>
        <v>2.0163074394791734E-2</v>
      </c>
      <c r="R290" s="100">
        <f>IF(AND(SamplingData[[#This Row],[Total]]&lt;&gt; 0, NOT(ISBLANK(SamplingData[[#This Row],[Candidate 3]]))),(SamplingData[[#This Row],[Total]]+SamplingData[[#This Row],[Winning Candidate]]-SamplingData[[#This Row],[Candidate 3]])/(SamplingData[[#Totals],[Winning Candidate]]-SamplingData[[#Totals],[Candidate 3]]), 0)</f>
        <v>1.7893429668096636E-2</v>
      </c>
      <c r="S290" s="100">
        <f>IF(AND(SamplingData[[#This Row],[Total]]&lt;&gt; 0, NOT(ISBLANK(SamplingData[[#This Row],[Candidate 4]]))),(SamplingData[[#This Row],[Total]]+SamplingData[[#This Row],[Winning Candidate]]-SamplingData[[#This Row],[Candidate 4]])/(SamplingData[[#Totals],[Winning Candidate]]-SamplingData[[#Totals],[Candidate 4]]), 0)</f>
        <v>0</v>
      </c>
      <c r="T290" s="100">
        <f>IF(AND(SamplingData[[#This Row],[Total]]&lt;&gt; 0, NOT(ISBLANK(SamplingData[[#This Row],[Candidate 5]]))),(SamplingData[[#This Row],[Total]]+SamplingData[[#This Row],[Winning Candidate]]-SamplingData[[#This Row],[Candidate 5]])/(SamplingData[[#Totals],[Winning Candidate]]-SamplingData[[#Totals],[Candidate 5]]), 0)</f>
        <v>0</v>
      </c>
      <c r="U290" s="100">
        <f>IF(AND(SamplingData[[#This Row],[Total]]&lt;&gt; 0, NOT(ISBLANK(SamplingData[[#This Row],[Candidate 6]]))),(SamplingData[[#This Row],[Total]]+SamplingData[[#This Row],[Losing Candidate]]-SamplingData[[#This Row],[Candidate 6]])/(SamplingData[[#Totals],[Winning Candidate]]-SamplingData[[#Totals],[Candidate 6]]), 0)</f>
        <v>0</v>
      </c>
      <c r="V290" s="100">
        <f>IF(AND(SamplingData[[#This Row],[Total]]&lt;&gt; 0, NOT(ISBLANK(SamplingData[[#This Row],[Candidate 7]]))),(SamplingData[[#This Row],[Total]]+SamplingData[[#This Row],[Winning Candidate]]-SamplingData[[#This Row],[Candidate 7]])/(SamplingData[[#Totals],[Winning Candidate]]-SamplingData[[#Totals],[Candidate 7]]), 0)</f>
        <v>0</v>
      </c>
      <c r="W290" s="100">
        <f>IF(AND(SamplingData[[#This Row],[Total]]&lt;&gt; 0, NOT(ISBLANK(SamplingData[[#This Row],[Candidate 8]]))),(SamplingData[[#This Row],[Total]]+SamplingData[[#This Row],[Winning Candidate]]-SamplingData[[#This Row],[Candidate 8]])/(SamplingData[[#Totals],[Winning Candidate]]-SamplingData[[#Totals],[Candidate 8]]), 0)</f>
        <v>0</v>
      </c>
      <c r="X29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0" s="100">
        <f>MAX(SamplingData[[#This Row],[Error Bound (up) - Max. possible relative overstatement - Losing Candidate]:[Error Bound (up) - Max. possible relative overstatement - Candidate 12]])</f>
        <v>2.0163074394791734E-2</v>
      </c>
      <c r="AC290" s="100">
        <f>IF(SamplingData[[#This Row],[Max Error Bound (up)]] = 0,0,SamplingData[[#This Row],[Max Error Bound (up)]]/SamplingData[[#Totals],[Max Error Bound (up)]])</f>
        <v>8.1832956612493731E-3</v>
      </c>
      <c r="AD290" s="104">
        <f>SUM($AC$5:AC290)</f>
        <v>0.63114918651765195</v>
      </c>
      <c r="AE290" s="100" t="str" cm="1">
        <f t="array" ref="AE290">IF(SamplingData[[#This Row],[up/U Selection Probability]] = 0, "Zero", TEXT(SamplingData[[#This Row],[Lower Range]], REPT("0",LEN('General Info'!$B$42))) &amp; " - " &amp; TEXT(SamplingData[[#This Row],[Upper Range]], REPT("0",LEN('General Info'!$B$42))))</f>
        <v>62297 - 63114</v>
      </c>
      <c r="AF290" s="100">
        <f>SamplingData[[#This Row],[Upper Range]]-SamplingData[[#This Row],[Span]]</f>
        <v>62296.589085640262</v>
      </c>
      <c r="AG290" s="100">
        <f>IF(ISNUMBER('General Info'!$B$42), ((SamplingData[[#This Row],[up/U Selection Probability]]) * 'General Info'!$B$44) - 1, 0)</f>
        <v>817.32956612493729</v>
      </c>
      <c r="AH290" s="100">
        <f>IF(ISNUMBER('General Info'!$B$42), (SamplingData[[#This Row],[Running (cumulative) sum]] * ('General Info'!$B$42 -'General Info'!$B$43 + 1)) + 'General Info'!$B$43 - 1, 0)</f>
        <v>63113.918651765198</v>
      </c>
      <c r="AI290" s="100" t="str">
        <f>IF(ISERROR(MATCH(SamplingData[[#This Row],[Batch by Type (p)]],SelectedPrecincts[Batch Name], 0)), "", INDEX(SelectedPrecincts[Draw], MATCH(SamplingData[[#This Row],[Batch by Type (p)]],SelectedPrecincts[Batch Name], 0)))</f>
        <v/>
      </c>
      <c r="AJ290" s="101">
        <f>IF(COUNTIF(SelectedPrecincts[Batch Name],SamplingData[[#This Row],[Batch by Type (p)]]) &lt;&gt; 0, COUNTIF(SelectedPrecincts[Batch Name],SamplingData[[#This Row],[Batch by Type (p)]]), 0)</f>
        <v>0</v>
      </c>
    </row>
    <row r="291" spans="1:36" ht="15" customHeight="1" x14ac:dyDescent="0.35">
      <c r="A291" s="98" t="s">
        <v>502</v>
      </c>
      <c r="B291" s="98">
        <v>174</v>
      </c>
      <c r="C291" s="98">
        <v>13</v>
      </c>
      <c r="D291" s="93">
        <v>14</v>
      </c>
      <c r="E291" s="93"/>
      <c r="F291" s="93"/>
      <c r="G291" s="97"/>
      <c r="H291" s="97"/>
      <c r="I291" s="93"/>
      <c r="J291" s="93"/>
      <c r="K291" s="93"/>
      <c r="L291" s="93"/>
      <c r="M291" s="93"/>
      <c r="N291" s="98">
        <v>0</v>
      </c>
      <c r="O291" s="98">
        <v>2</v>
      </c>
      <c r="P291" s="99">
        <f>SUM(SamplingData[[#This Row],[Winning Candidate]:[Under Votes]])</f>
        <v>203</v>
      </c>
      <c r="Q291" s="100">
        <f>IF(AND(SamplingData[[#This Row],[Total]]&lt;&gt; 0, NOT(ISBLANK(SamplingData[[#This Row],[Losing Candidate]]))),(SamplingData[[#This Row],[Total]]+SamplingData[[#This Row],[Winning Candidate]]-SamplingData[[#This Row],[Losing Candidate]])/(SamplingData[[#Totals],[Winning Candidate]]-SamplingData[[#Totals],[Losing Candidate]]), 0)</f>
        <v>2.3007395234182416E-2</v>
      </c>
      <c r="R291" s="100">
        <f>IF(AND(SamplingData[[#This Row],[Total]]&lt;&gt; 0, NOT(ISBLANK(SamplingData[[#This Row],[Candidate 3]]))),(SamplingData[[#This Row],[Total]]+SamplingData[[#This Row],[Winning Candidate]]-SamplingData[[#This Row],[Candidate 3]])/(SamplingData[[#Totals],[Winning Candidate]]-SamplingData[[#Totals],[Candidate 3]]), 0)</f>
        <v>2.0489952585233687E-2</v>
      </c>
      <c r="S291" s="100">
        <f>IF(AND(SamplingData[[#This Row],[Total]]&lt;&gt; 0, NOT(ISBLANK(SamplingData[[#This Row],[Candidate 4]]))),(SamplingData[[#This Row],[Total]]+SamplingData[[#This Row],[Winning Candidate]]-SamplingData[[#This Row],[Candidate 4]])/(SamplingData[[#Totals],[Winning Candidate]]-SamplingData[[#Totals],[Candidate 4]]), 0)</f>
        <v>0</v>
      </c>
      <c r="T291" s="100">
        <f>IF(AND(SamplingData[[#This Row],[Total]]&lt;&gt; 0, NOT(ISBLANK(SamplingData[[#This Row],[Candidate 5]]))),(SamplingData[[#This Row],[Total]]+SamplingData[[#This Row],[Winning Candidate]]-SamplingData[[#This Row],[Candidate 5]])/(SamplingData[[#Totals],[Winning Candidate]]-SamplingData[[#Totals],[Candidate 5]]), 0)</f>
        <v>0</v>
      </c>
      <c r="U291" s="100">
        <f>IF(AND(SamplingData[[#This Row],[Total]]&lt;&gt; 0, NOT(ISBLANK(SamplingData[[#This Row],[Candidate 6]]))),(SamplingData[[#This Row],[Total]]+SamplingData[[#This Row],[Losing Candidate]]-SamplingData[[#This Row],[Candidate 6]])/(SamplingData[[#Totals],[Winning Candidate]]-SamplingData[[#Totals],[Candidate 6]]), 0)</f>
        <v>0</v>
      </c>
      <c r="V291" s="100">
        <f>IF(AND(SamplingData[[#This Row],[Total]]&lt;&gt; 0, NOT(ISBLANK(SamplingData[[#This Row],[Candidate 7]]))),(SamplingData[[#This Row],[Total]]+SamplingData[[#This Row],[Winning Candidate]]-SamplingData[[#This Row],[Candidate 7]])/(SamplingData[[#Totals],[Winning Candidate]]-SamplingData[[#Totals],[Candidate 7]]), 0)</f>
        <v>0</v>
      </c>
      <c r="W291" s="100">
        <f>IF(AND(SamplingData[[#This Row],[Total]]&lt;&gt; 0, NOT(ISBLANK(SamplingData[[#This Row],[Candidate 8]]))),(SamplingData[[#This Row],[Total]]+SamplingData[[#This Row],[Winning Candidate]]-SamplingData[[#This Row],[Candidate 8]])/(SamplingData[[#Totals],[Winning Candidate]]-SamplingData[[#Totals],[Candidate 8]]), 0)</f>
        <v>0</v>
      </c>
      <c r="X29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1" s="100">
        <f>MAX(SamplingData[[#This Row],[Error Bound (up) - Max. possible relative overstatement - Losing Candidate]:[Error Bound (up) - Max. possible relative overstatement - Candidate 12]])</f>
        <v>2.3007395234182416E-2</v>
      </c>
      <c r="AC291" s="100">
        <f>IF(SamplingData[[#This Row],[Max Error Bound (up)]] = 0,0,SamplingData[[#This Row],[Max Error Bound (up)]]/SamplingData[[#Totals],[Max Error Bound (up)]])</f>
        <v>9.3376790617390962E-3</v>
      </c>
      <c r="AD291" s="104">
        <f>SUM($AC$5:AC291)</f>
        <v>0.64048686557939105</v>
      </c>
      <c r="AE291" s="100" t="str" cm="1">
        <f t="array" ref="AE291">IF(SamplingData[[#This Row],[up/U Selection Probability]] = 0, "Zero", TEXT(SamplingData[[#This Row],[Lower Range]], REPT("0",LEN('General Info'!$B$42))) &amp; " - " &amp; TEXT(SamplingData[[#This Row],[Upper Range]], REPT("0",LEN('General Info'!$B$42))))</f>
        <v>63115 - 64048</v>
      </c>
      <c r="AF291" s="100">
        <f>SamplingData[[#This Row],[Upper Range]]-SamplingData[[#This Row],[Span]]</f>
        <v>63114.918651765198</v>
      </c>
      <c r="AG291" s="100">
        <f>IF(ISNUMBER('General Info'!$B$42), ((SamplingData[[#This Row],[up/U Selection Probability]]) * 'General Info'!$B$44) - 1, 0)</f>
        <v>932.76790617390964</v>
      </c>
      <c r="AH291" s="100">
        <f>IF(ISNUMBER('General Info'!$B$42), (SamplingData[[#This Row],[Running (cumulative) sum]] * ('General Info'!$B$42 -'General Info'!$B$43 + 1)) + 'General Info'!$B$43 - 1, 0)</f>
        <v>64047.686557939109</v>
      </c>
      <c r="AI291" s="100" t="str">
        <f>IF(ISERROR(MATCH(SamplingData[[#This Row],[Batch by Type (p)]],SelectedPrecincts[Batch Name], 0)), "", INDEX(SelectedPrecincts[Draw], MATCH(SamplingData[[#This Row],[Batch by Type (p)]],SelectedPrecincts[Batch Name], 0)))</f>
        <v/>
      </c>
      <c r="AJ291" s="101">
        <f>IF(COUNTIF(SelectedPrecincts[Batch Name],SamplingData[[#This Row],[Batch by Type (p)]]) &lt;&gt; 0, COUNTIF(SelectedPrecincts[Batch Name],SamplingData[[#This Row],[Batch by Type (p)]]), 0)</f>
        <v>0</v>
      </c>
    </row>
    <row r="292" spans="1:36" ht="15" customHeight="1" x14ac:dyDescent="0.35">
      <c r="A292" s="98" t="s">
        <v>503</v>
      </c>
      <c r="B292" s="98">
        <v>145</v>
      </c>
      <c r="C292" s="98">
        <v>8</v>
      </c>
      <c r="D292" s="93">
        <v>7</v>
      </c>
      <c r="E292" s="93"/>
      <c r="F292" s="93"/>
      <c r="G292" s="97"/>
      <c r="H292" s="97"/>
      <c r="I292" s="93"/>
      <c r="J292" s="93"/>
      <c r="K292" s="93"/>
      <c r="L292" s="93"/>
      <c r="M292" s="93"/>
      <c r="N292" s="98">
        <v>0</v>
      </c>
      <c r="O292" s="98">
        <v>2</v>
      </c>
      <c r="P292" s="99">
        <f>SUM(SamplingData[[#This Row],[Winning Candidate]:[Under Votes]])</f>
        <v>162</v>
      </c>
      <c r="Q292" s="100">
        <f>IF(AND(SamplingData[[#This Row],[Total]]&lt;&gt; 0, NOT(ISBLANK(SamplingData[[#This Row],[Losing Candidate]]))),(SamplingData[[#This Row],[Total]]+SamplingData[[#This Row],[Winning Candidate]]-SamplingData[[#This Row],[Losing Candidate]])/(SamplingData[[#Totals],[Winning Candidate]]-SamplingData[[#Totals],[Losing Candidate]]), 0)</f>
        <v>1.8898931799506986E-2</v>
      </c>
      <c r="R292" s="100">
        <f>IF(AND(SamplingData[[#This Row],[Total]]&lt;&gt; 0, NOT(ISBLANK(SamplingData[[#This Row],[Candidate 3]]))),(SamplingData[[#This Row],[Total]]+SamplingData[[#This Row],[Winning Candidate]]-SamplingData[[#This Row],[Candidate 3]])/(SamplingData[[#Totals],[Winning Candidate]]-SamplingData[[#Totals],[Candidate 3]]), 0)</f>
        <v>1.6933845111763379E-2</v>
      </c>
      <c r="S292" s="100">
        <f>IF(AND(SamplingData[[#This Row],[Total]]&lt;&gt; 0, NOT(ISBLANK(SamplingData[[#This Row],[Candidate 4]]))),(SamplingData[[#This Row],[Total]]+SamplingData[[#This Row],[Winning Candidate]]-SamplingData[[#This Row],[Candidate 4]])/(SamplingData[[#Totals],[Winning Candidate]]-SamplingData[[#Totals],[Candidate 4]]), 0)</f>
        <v>0</v>
      </c>
      <c r="T292" s="100">
        <f>IF(AND(SamplingData[[#This Row],[Total]]&lt;&gt; 0, NOT(ISBLANK(SamplingData[[#This Row],[Candidate 5]]))),(SamplingData[[#This Row],[Total]]+SamplingData[[#This Row],[Winning Candidate]]-SamplingData[[#This Row],[Candidate 5]])/(SamplingData[[#Totals],[Winning Candidate]]-SamplingData[[#Totals],[Candidate 5]]), 0)</f>
        <v>0</v>
      </c>
      <c r="U292" s="100">
        <f>IF(AND(SamplingData[[#This Row],[Total]]&lt;&gt; 0, NOT(ISBLANK(SamplingData[[#This Row],[Candidate 6]]))),(SamplingData[[#This Row],[Total]]+SamplingData[[#This Row],[Losing Candidate]]-SamplingData[[#This Row],[Candidate 6]])/(SamplingData[[#Totals],[Winning Candidate]]-SamplingData[[#Totals],[Candidate 6]]), 0)</f>
        <v>0</v>
      </c>
      <c r="V292" s="100">
        <f>IF(AND(SamplingData[[#This Row],[Total]]&lt;&gt; 0, NOT(ISBLANK(SamplingData[[#This Row],[Candidate 7]]))),(SamplingData[[#This Row],[Total]]+SamplingData[[#This Row],[Winning Candidate]]-SamplingData[[#This Row],[Candidate 7]])/(SamplingData[[#Totals],[Winning Candidate]]-SamplingData[[#Totals],[Candidate 7]]), 0)</f>
        <v>0</v>
      </c>
      <c r="W292" s="100">
        <f>IF(AND(SamplingData[[#This Row],[Total]]&lt;&gt; 0, NOT(ISBLANK(SamplingData[[#This Row],[Candidate 8]]))),(SamplingData[[#This Row],[Total]]+SamplingData[[#This Row],[Winning Candidate]]-SamplingData[[#This Row],[Candidate 8]])/(SamplingData[[#Totals],[Winning Candidate]]-SamplingData[[#Totals],[Candidate 8]]), 0)</f>
        <v>0</v>
      </c>
      <c r="X29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2" s="100">
        <f>MAX(SamplingData[[#This Row],[Error Bound (up) - Max. possible relative overstatement - Losing Candidate]:[Error Bound (up) - Max. possible relative overstatement - Candidate 12]])</f>
        <v>1.8898931799506986E-2</v>
      </c>
      <c r="AC292" s="100">
        <f>IF(SamplingData[[#This Row],[Max Error Bound (up)]] = 0,0,SamplingData[[#This Row],[Max Error Bound (up)]]/SamplingData[[#Totals],[Max Error Bound (up)]])</f>
        <v>7.67023637214283E-3</v>
      </c>
      <c r="AD292" s="104">
        <f>SUM($AC$5:AC292)</f>
        <v>0.64815710195153386</v>
      </c>
      <c r="AE292" s="100" t="str" cm="1">
        <f t="array" ref="AE292">IF(SamplingData[[#This Row],[up/U Selection Probability]] = 0, "Zero", TEXT(SamplingData[[#This Row],[Lower Range]], REPT("0",LEN('General Info'!$B$42))) &amp; " - " &amp; TEXT(SamplingData[[#This Row],[Upper Range]], REPT("0",LEN('General Info'!$B$42))))</f>
        <v>64049 - 64815</v>
      </c>
      <c r="AF292" s="100">
        <f>SamplingData[[#This Row],[Upper Range]]-SamplingData[[#This Row],[Span]]</f>
        <v>64048.686557939101</v>
      </c>
      <c r="AG292" s="100">
        <f>IF(ISNUMBER('General Info'!$B$42), ((SamplingData[[#This Row],[up/U Selection Probability]]) * 'General Info'!$B$44) - 1, 0)</f>
        <v>766.02363721428299</v>
      </c>
      <c r="AH292" s="100">
        <f>IF(ISNUMBER('General Info'!$B$42), (SamplingData[[#This Row],[Running (cumulative) sum]] * ('General Info'!$B$42 -'General Info'!$B$43 + 1)) + 'General Info'!$B$43 - 1, 0)</f>
        <v>64814.710195153384</v>
      </c>
      <c r="AI292" s="100" t="str">
        <f>IF(ISERROR(MATCH(SamplingData[[#This Row],[Batch by Type (p)]],SelectedPrecincts[Batch Name], 0)), "", INDEX(SelectedPrecincts[Draw], MATCH(SamplingData[[#This Row],[Batch by Type (p)]],SelectedPrecincts[Batch Name], 0)))</f>
        <v/>
      </c>
      <c r="AJ292" s="101">
        <f>IF(COUNTIF(SelectedPrecincts[Batch Name],SamplingData[[#This Row],[Batch by Type (p)]]) &lt;&gt; 0, COUNTIF(SelectedPrecincts[Batch Name],SamplingData[[#This Row],[Batch by Type (p)]]), 0)</f>
        <v>0</v>
      </c>
    </row>
    <row r="293" spans="1:36" ht="15" customHeight="1" x14ac:dyDescent="0.35">
      <c r="A293" s="98" t="s">
        <v>504</v>
      </c>
      <c r="B293" s="98">
        <v>132</v>
      </c>
      <c r="C293" s="98">
        <v>9</v>
      </c>
      <c r="D293" s="93">
        <v>2</v>
      </c>
      <c r="E293" s="93"/>
      <c r="F293" s="93"/>
      <c r="G293" s="97"/>
      <c r="H293" s="97"/>
      <c r="I293" s="93"/>
      <c r="J293" s="93"/>
      <c r="K293" s="93"/>
      <c r="L293" s="93"/>
      <c r="M293" s="93"/>
      <c r="N293" s="98">
        <v>0</v>
      </c>
      <c r="O293" s="98">
        <v>2</v>
      </c>
      <c r="P293" s="99">
        <f>SUM(SamplingData[[#This Row],[Winning Candidate]:[Under Votes]])</f>
        <v>145</v>
      </c>
      <c r="Q293" s="100">
        <f>IF(AND(SamplingData[[#This Row],[Total]]&lt;&gt; 0, NOT(ISBLANK(SamplingData[[#This Row],[Losing Candidate]]))),(SamplingData[[#This Row],[Total]]+SamplingData[[#This Row],[Winning Candidate]]-SamplingData[[#This Row],[Losing Candidate]])/(SamplingData[[#Totals],[Winning Candidate]]-SamplingData[[#Totals],[Losing Candidate]]), 0)</f>
        <v>1.6939510776815624E-2</v>
      </c>
      <c r="R293" s="100">
        <f>IF(AND(SamplingData[[#This Row],[Total]]&lt;&gt; 0, NOT(ISBLANK(SamplingData[[#This Row],[Candidate 3]]))),(SamplingData[[#This Row],[Total]]+SamplingData[[#This Row],[Winning Candidate]]-SamplingData[[#This Row],[Candidate 3]])/(SamplingData[[#Totals],[Winning Candidate]]-SamplingData[[#Totals],[Candidate 3]]), 0)</f>
        <v>1.5522691352449764E-2</v>
      </c>
      <c r="S293" s="100">
        <f>IF(AND(SamplingData[[#This Row],[Total]]&lt;&gt; 0, NOT(ISBLANK(SamplingData[[#This Row],[Candidate 4]]))),(SamplingData[[#This Row],[Total]]+SamplingData[[#This Row],[Winning Candidate]]-SamplingData[[#This Row],[Candidate 4]])/(SamplingData[[#Totals],[Winning Candidate]]-SamplingData[[#Totals],[Candidate 4]]), 0)</f>
        <v>0</v>
      </c>
      <c r="T293" s="100">
        <f>IF(AND(SamplingData[[#This Row],[Total]]&lt;&gt; 0, NOT(ISBLANK(SamplingData[[#This Row],[Candidate 5]]))),(SamplingData[[#This Row],[Total]]+SamplingData[[#This Row],[Winning Candidate]]-SamplingData[[#This Row],[Candidate 5]])/(SamplingData[[#Totals],[Winning Candidate]]-SamplingData[[#Totals],[Candidate 5]]), 0)</f>
        <v>0</v>
      </c>
      <c r="U293" s="100">
        <f>IF(AND(SamplingData[[#This Row],[Total]]&lt;&gt; 0, NOT(ISBLANK(SamplingData[[#This Row],[Candidate 6]]))),(SamplingData[[#This Row],[Total]]+SamplingData[[#This Row],[Losing Candidate]]-SamplingData[[#This Row],[Candidate 6]])/(SamplingData[[#Totals],[Winning Candidate]]-SamplingData[[#Totals],[Candidate 6]]), 0)</f>
        <v>0</v>
      </c>
      <c r="V293" s="100">
        <f>IF(AND(SamplingData[[#This Row],[Total]]&lt;&gt; 0, NOT(ISBLANK(SamplingData[[#This Row],[Candidate 7]]))),(SamplingData[[#This Row],[Total]]+SamplingData[[#This Row],[Winning Candidate]]-SamplingData[[#This Row],[Candidate 7]])/(SamplingData[[#Totals],[Winning Candidate]]-SamplingData[[#Totals],[Candidate 7]]), 0)</f>
        <v>0</v>
      </c>
      <c r="W293" s="100">
        <f>IF(AND(SamplingData[[#This Row],[Total]]&lt;&gt; 0, NOT(ISBLANK(SamplingData[[#This Row],[Candidate 8]]))),(SamplingData[[#This Row],[Total]]+SamplingData[[#This Row],[Winning Candidate]]-SamplingData[[#This Row],[Candidate 8]])/(SamplingData[[#Totals],[Winning Candidate]]-SamplingData[[#Totals],[Candidate 8]]), 0)</f>
        <v>0</v>
      </c>
      <c r="X29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3" s="100">
        <f>MAX(SamplingData[[#This Row],[Error Bound (up) - Max. possible relative overstatement - Losing Candidate]:[Error Bound (up) - Max. possible relative overstatement - Candidate 12]])</f>
        <v>1.6939510776815624E-2</v>
      </c>
      <c r="AC293" s="100">
        <f>IF(SamplingData[[#This Row],[Max Error Bound (up)]] = 0,0,SamplingData[[#This Row],[Max Error Bound (up)]]/SamplingData[[#Totals],[Max Error Bound (up)]])</f>
        <v>6.8749944740276858E-3</v>
      </c>
      <c r="AD293" s="104">
        <f>SUM($AC$5:AC293)</f>
        <v>0.65503209642556159</v>
      </c>
      <c r="AE293" s="100" t="str" cm="1">
        <f t="array" ref="AE293">IF(SamplingData[[#This Row],[up/U Selection Probability]] = 0, "Zero", TEXT(SamplingData[[#This Row],[Lower Range]], REPT("0",LEN('General Info'!$B$42))) &amp; " - " &amp; TEXT(SamplingData[[#This Row],[Upper Range]], REPT("0",LEN('General Info'!$B$42))))</f>
        <v>64816 - 65502</v>
      </c>
      <c r="AF293" s="100">
        <f>SamplingData[[#This Row],[Upper Range]]-SamplingData[[#This Row],[Span]]</f>
        <v>64815.710195153391</v>
      </c>
      <c r="AG293" s="100">
        <f>IF(ISNUMBER('General Info'!$B$42), ((SamplingData[[#This Row],[up/U Selection Probability]]) * 'General Info'!$B$44) - 1, 0)</f>
        <v>686.49944740276862</v>
      </c>
      <c r="AH293" s="100">
        <f>IF(ISNUMBER('General Info'!$B$42), (SamplingData[[#This Row],[Running (cumulative) sum]] * ('General Info'!$B$42 -'General Info'!$B$43 + 1)) + 'General Info'!$B$43 - 1, 0)</f>
        <v>65502.209642556161</v>
      </c>
      <c r="AI293" s="100" t="str">
        <f>IF(ISERROR(MATCH(SamplingData[[#This Row],[Batch by Type (p)]],SelectedPrecincts[Batch Name], 0)), "", INDEX(SelectedPrecincts[Draw], MATCH(SamplingData[[#This Row],[Batch by Type (p)]],SelectedPrecincts[Batch Name], 0)))</f>
        <v/>
      </c>
      <c r="AJ293" s="101">
        <f>IF(COUNTIF(SelectedPrecincts[Batch Name],SamplingData[[#This Row],[Batch by Type (p)]]) &lt;&gt; 0, COUNTIF(SelectedPrecincts[Batch Name],SamplingData[[#This Row],[Batch by Type (p)]]), 0)</f>
        <v>0</v>
      </c>
    </row>
    <row r="294" spans="1:36" ht="15" customHeight="1" x14ac:dyDescent="0.35">
      <c r="A294" s="98" t="s">
        <v>505</v>
      </c>
      <c r="B294" s="98">
        <v>206</v>
      </c>
      <c r="C294" s="98">
        <v>8</v>
      </c>
      <c r="D294" s="93">
        <v>4</v>
      </c>
      <c r="E294" s="93"/>
      <c r="F294" s="93"/>
      <c r="G294" s="97"/>
      <c r="H294" s="97"/>
      <c r="I294" s="93"/>
      <c r="J294" s="93"/>
      <c r="K294" s="93"/>
      <c r="L294" s="93"/>
      <c r="M294" s="93"/>
      <c r="N294" s="98">
        <v>0</v>
      </c>
      <c r="O294" s="98">
        <v>0</v>
      </c>
      <c r="P294" s="99">
        <f>SUM(SamplingData[[#This Row],[Winning Candidate]:[Under Votes]])</f>
        <v>218</v>
      </c>
      <c r="Q294" s="100">
        <f>IF(AND(SamplingData[[#This Row],[Total]]&lt;&gt; 0, NOT(ISBLANK(SamplingData[[#This Row],[Losing Candidate]]))),(SamplingData[[#This Row],[Total]]+SamplingData[[#This Row],[Winning Candidate]]-SamplingData[[#This Row],[Losing Candidate]])/(SamplingData[[#Totals],[Winning Candidate]]-SamplingData[[#Totals],[Losing Candidate]]), 0)</f>
        <v>2.629416598192276E-2</v>
      </c>
      <c r="R294" s="100">
        <f>IF(AND(SamplingData[[#This Row],[Total]]&lt;&gt; 0, NOT(ISBLANK(SamplingData[[#This Row],[Candidate 3]]))),(SamplingData[[#This Row],[Total]]+SamplingData[[#This Row],[Winning Candidate]]-SamplingData[[#This Row],[Candidate 3]])/(SamplingData[[#Totals],[Winning Candidate]]-SamplingData[[#Totals],[Candidate 3]]), 0)</f>
        <v>2.3707383156468729E-2</v>
      </c>
      <c r="S294" s="100">
        <f>IF(AND(SamplingData[[#This Row],[Total]]&lt;&gt; 0, NOT(ISBLANK(SamplingData[[#This Row],[Candidate 4]]))),(SamplingData[[#This Row],[Total]]+SamplingData[[#This Row],[Winning Candidate]]-SamplingData[[#This Row],[Candidate 4]])/(SamplingData[[#Totals],[Winning Candidate]]-SamplingData[[#Totals],[Candidate 4]]), 0)</f>
        <v>0</v>
      </c>
      <c r="T294" s="100">
        <f>IF(AND(SamplingData[[#This Row],[Total]]&lt;&gt; 0, NOT(ISBLANK(SamplingData[[#This Row],[Candidate 5]]))),(SamplingData[[#This Row],[Total]]+SamplingData[[#This Row],[Winning Candidate]]-SamplingData[[#This Row],[Candidate 5]])/(SamplingData[[#Totals],[Winning Candidate]]-SamplingData[[#Totals],[Candidate 5]]), 0)</f>
        <v>0</v>
      </c>
      <c r="U294" s="100">
        <f>IF(AND(SamplingData[[#This Row],[Total]]&lt;&gt; 0, NOT(ISBLANK(SamplingData[[#This Row],[Candidate 6]]))),(SamplingData[[#This Row],[Total]]+SamplingData[[#This Row],[Losing Candidate]]-SamplingData[[#This Row],[Candidate 6]])/(SamplingData[[#Totals],[Winning Candidate]]-SamplingData[[#Totals],[Candidate 6]]), 0)</f>
        <v>0</v>
      </c>
      <c r="V294" s="100">
        <f>IF(AND(SamplingData[[#This Row],[Total]]&lt;&gt; 0, NOT(ISBLANK(SamplingData[[#This Row],[Candidate 7]]))),(SamplingData[[#This Row],[Total]]+SamplingData[[#This Row],[Winning Candidate]]-SamplingData[[#This Row],[Candidate 7]])/(SamplingData[[#Totals],[Winning Candidate]]-SamplingData[[#Totals],[Candidate 7]]), 0)</f>
        <v>0</v>
      </c>
      <c r="W294" s="100">
        <f>IF(AND(SamplingData[[#This Row],[Total]]&lt;&gt; 0, NOT(ISBLANK(SamplingData[[#This Row],[Candidate 8]]))),(SamplingData[[#This Row],[Total]]+SamplingData[[#This Row],[Winning Candidate]]-SamplingData[[#This Row],[Candidate 8]])/(SamplingData[[#Totals],[Winning Candidate]]-SamplingData[[#Totals],[Candidate 8]]), 0)</f>
        <v>0</v>
      </c>
      <c r="X29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4" s="100">
        <f>MAX(SamplingData[[#This Row],[Error Bound (up) - Max. possible relative overstatement - Losing Candidate]:[Error Bound (up) - Max. possible relative overstatement - Candidate 12]])</f>
        <v>2.629416598192276E-2</v>
      </c>
      <c r="AC294" s="100">
        <f>IF(SamplingData[[#This Row],[Max Error Bound (up)]] = 0,0,SamplingData[[#This Row],[Max Error Bound (up)]]/SamplingData[[#Totals],[Max Error Bound (up)]])</f>
        <v>1.0671633213416109E-2</v>
      </c>
      <c r="AD294" s="104">
        <f>SUM($AC$5:AC294)</f>
        <v>0.66570372963897773</v>
      </c>
      <c r="AE294" s="100" t="str" cm="1">
        <f t="array" ref="AE294">IF(SamplingData[[#This Row],[up/U Selection Probability]] = 0, "Zero", TEXT(SamplingData[[#This Row],[Lower Range]], REPT("0",LEN('General Info'!$B$42))) &amp; " - " &amp; TEXT(SamplingData[[#This Row],[Upper Range]], REPT("0",LEN('General Info'!$B$42))))</f>
        <v>65503 - 66569</v>
      </c>
      <c r="AF294" s="100">
        <f>SamplingData[[#This Row],[Upper Range]]-SamplingData[[#This Row],[Span]]</f>
        <v>65503.209642556154</v>
      </c>
      <c r="AG294" s="100">
        <f>IF(ISNUMBER('General Info'!$B$42), ((SamplingData[[#This Row],[up/U Selection Probability]]) * 'General Info'!$B$44) - 1, 0)</f>
        <v>1066.163321341611</v>
      </c>
      <c r="AH294" s="100">
        <f>IF(ISNUMBER('General Info'!$B$42), (SamplingData[[#This Row],[Running (cumulative) sum]] * ('General Info'!$B$42 -'General Info'!$B$43 + 1)) + 'General Info'!$B$43 - 1, 0)</f>
        <v>66569.372963897767</v>
      </c>
      <c r="AI294" s="100" t="str">
        <f>IF(ISERROR(MATCH(SamplingData[[#This Row],[Batch by Type (p)]],SelectedPrecincts[Batch Name], 0)), "", INDEX(SelectedPrecincts[Draw], MATCH(SamplingData[[#This Row],[Batch by Type (p)]],SelectedPrecincts[Batch Name], 0)))</f>
        <v/>
      </c>
      <c r="AJ294" s="101">
        <f>IF(COUNTIF(SelectedPrecincts[Batch Name],SamplingData[[#This Row],[Batch by Type (p)]]) &lt;&gt; 0, COUNTIF(SelectedPrecincts[Batch Name],SamplingData[[#This Row],[Batch by Type (p)]]), 0)</f>
        <v>0</v>
      </c>
    </row>
    <row r="295" spans="1:36" ht="15" customHeight="1" x14ac:dyDescent="0.35">
      <c r="A295" s="98" t="s">
        <v>506</v>
      </c>
      <c r="B295" s="98">
        <v>174</v>
      </c>
      <c r="C295" s="98">
        <v>14</v>
      </c>
      <c r="D295" s="93">
        <v>5</v>
      </c>
      <c r="E295" s="93"/>
      <c r="F295" s="93"/>
      <c r="G295" s="97"/>
      <c r="H295" s="97"/>
      <c r="I295" s="93"/>
      <c r="J295" s="93"/>
      <c r="K295" s="93"/>
      <c r="L295" s="93"/>
      <c r="M295" s="93"/>
      <c r="N295" s="98">
        <v>0</v>
      </c>
      <c r="O295" s="98">
        <v>0</v>
      </c>
      <c r="P295" s="99">
        <f>SUM(SamplingData[[#This Row],[Winning Candidate]:[Under Votes]])</f>
        <v>193</v>
      </c>
      <c r="Q295" s="100">
        <f>IF(AND(SamplingData[[#This Row],[Total]]&lt;&gt; 0, NOT(ISBLANK(SamplingData[[#This Row],[Losing Candidate]]))),(SamplingData[[#This Row],[Total]]+SamplingData[[#This Row],[Winning Candidate]]-SamplingData[[#This Row],[Losing Candidate]])/(SamplingData[[#Totals],[Winning Candidate]]-SamplingData[[#Totals],[Losing Candidate]]), 0)</f>
        <v>2.2312116806775806E-2</v>
      </c>
      <c r="R295" s="100">
        <f>IF(AND(SamplingData[[#This Row],[Total]]&lt;&gt; 0, NOT(ISBLANK(SamplingData[[#This Row],[Candidate 3]]))),(SamplingData[[#This Row],[Total]]+SamplingData[[#This Row],[Winning Candidate]]-SamplingData[[#This Row],[Candidate 3]])/(SamplingData[[#Totals],[Winning Candidate]]-SamplingData[[#Totals],[Candidate 3]]), 0)</f>
        <v>2.0433506434861141E-2</v>
      </c>
      <c r="S295" s="100">
        <f>IF(AND(SamplingData[[#This Row],[Total]]&lt;&gt; 0, NOT(ISBLANK(SamplingData[[#This Row],[Candidate 4]]))),(SamplingData[[#This Row],[Total]]+SamplingData[[#This Row],[Winning Candidate]]-SamplingData[[#This Row],[Candidate 4]])/(SamplingData[[#Totals],[Winning Candidate]]-SamplingData[[#Totals],[Candidate 4]]), 0)</f>
        <v>0</v>
      </c>
      <c r="T295" s="100">
        <f>IF(AND(SamplingData[[#This Row],[Total]]&lt;&gt; 0, NOT(ISBLANK(SamplingData[[#This Row],[Candidate 5]]))),(SamplingData[[#This Row],[Total]]+SamplingData[[#This Row],[Winning Candidate]]-SamplingData[[#This Row],[Candidate 5]])/(SamplingData[[#Totals],[Winning Candidate]]-SamplingData[[#Totals],[Candidate 5]]), 0)</f>
        <v>0</v>
      </c>
      <c r="U295" s="100">
        <f>IF(AND(SamplingData[[#This Row],[Total]]&lt;&gt; 0, NOT(ISBLANK(SamplingData[[#This Row],[Candidate 6]]))),(SamplingData[[#This Row],[Total]]+SamplingData[[#This Row],[Losing Candidate]]-SamplingData[[#This Row],[Candidate 6]])/(SamplingData[[#Totals],[Winning Candidate]]-SamplingData[[#Totals],[Candidate 6]]), 0)</f>
        <v>0</v>
      </c>
      <c r="V295" s="100">
        <f>IF(AND(SamplingData[[#This Row],[Total]]&lt;&gt; 0, NOT(ISBLANK(SamplingData[[#This Row],[Candidate 7]]))),(SamplingData[[#This Row],[Total]]+SamplingData[[#This Row],[Winning Candidate]]-SamplingData[[#This Row],[Candidate 7]])/(SamplingData[[#Totals],[Winning Candidate]]-SamplingData[[#Totals],[Candidate 7]]), 0)</f>
        <v>0</v>
      </c>
      <c r="W295" s="100">
        <f>IF(AND(SamplingData[[#This Row],[Total]]&lt;&gt; 0, NOT(ISBLANK(SamplingData[[#This Row],[Candidate 8]]))),(SamplingData[[#This Row],[Total]]+SamplingData[[#This Row],[Winning Candidate]]-SamplingData[[#This Row],[Candidate 8]])/(SamplingData[[#Totals],[Winning Candidate]]-SamplingData[[#Totals],[Candidate 8]]), 0)</f>
        <v>0</v>
      </c>
      <c r="X29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5" s="100">
        <f>MAX(SamplingData[[#This Row],[Error Bound (up) - Max. possible relative overstatement - Losing Candidate]:[Error Bound (up) - Max. possible relative overstatement - Candidate 12]])</f>
        <v>2.2312116806775806E-2</v>
      </c>
      <c r="AC295" s="100">
        <f>IF(SamplingData[[#This Row],[Max Error Bound (up)]] = 0,0,SamplingData[[#This Row],[Max Error Bound (up)]]/SamplingData[[#Totals],[Max Error Bound (up)]])</f>
        <v>9.0554964527304986E-3</v>
      </c>
      <c r="AD295" s="104">
        <f>SUM($AC$5:AC295)</f>
        <v>0.67475922609170824</v>
      </c>
      <c r="AE295" s="100" t="str" cm="1">
        <f t="array" ref="AE295">IF(SamplingData[[#This Row],[up/U Selection Probability]] = 0, "Zero", TEXT(SamplingData[[#This Row],[Lower Range]], REPT("0",LEN('General Info'!$B$42))) &amp; " - " &amp; TEXT(SamplingData[[#This Row],[Upper Range]], REPT("0",LEN('General Info'!$B$42))))</f>
        <v>66570 - 67475</v>
      </c>
      <c r="AF295" s="100">
        <f>SamplingData[[#This Row],[Upper Range]]-SamplingData[[#This Row],[Span]]</f>
        <v>66570.372963897782</v>
      </c>
      <c r="AG295" s="100">
        <f>IF(ISNUMBER('General Info'!$B$42), ((SamplingData[[#This Row],[up/U Selection Probability]]) * 'General Info'!$B$44) - 1, 0)</f>
        <v>904.5496452730498</v>
      </c>
      <c r="AH295" s="100">
        <f>IF(ISNUMBER('General Info'!$B$42), (SamplingData[[#This Row],[Running (cumulative) sum]] * ('General Info'!$B$42 -'General Info'!$B$43 + 1)) + 'General Info'!$B$43 - 1, 0)</f>
        <v>67474.922609170826</v>
      </c>
      <c r="AI295" s="100" t="str">
        <f>IF(ISERROR(MATCH(SamplingData[[#This Row],[Batch by Type (p)]],SelectedPrecincts[Batch Name], 0)), "", INDEX(SelectedPrecincts[Draw], MATCH(SamplingData[[#This Row],[Batch by Type (p)]],SelectedPrecincts[Batch Name], 0)))</f>
        <v/>
      </c>
      <c r="AJ295" s="101">
        <f>IF(COUNTIF(SelectedPrecincts[Batch Name],SamplingData[[#This Row],[Batch by Type (p)]]) &lt;&gt; 0, COUNTIF(SelectedPrecincts[Batch Name],SamplingData[[#This Row],[Batch by Type (p)]]), 0)</f>
        <v>0</v>
      </c>
    </row>
    <row r="296" spans="1:36" ht="15" customHeight="1" x14ac:dyDescent="0.35">
      <c r="A296" s="98" t="s">
        <v>507</v>
      </c>
      <c r="B296" s="98">
        <v>41</v>
      </c>
      <c r="C296" s="98">
        <v>1</v>
      </c>
      <c r="D296" s="93">
        <v>1</v>
      </c>
      <c r="E296" s="93"/>
      <c r="F296" s="93"/>
      <c r="G296" s="97"/>
      <c r="H296" s="97"/>
      <c r="I296" s="93"/>
      <c r="J296" s="93"/>
      <c r="K296" s="93"/>
      <c r="L296" s="93"/>
      <c r="M296" s="93"/>
      <c r="N296" s="98">
        <v>0</v>
      </c>
      <c r="O296" s="98">
        <v>0</v>
      </c>
      <c r="P296" s="99">
        <f>SUM(SamplingData[[#This Row],[Winning Candidate]:[Under Votes]])</f>
        <v>43</v>
      </c>
      <c r="Q296" s="100">
        <f>IF(AND(SamplingData[[#This Row],[Total]]&lt;&gt; 0, NOT(ISBLANK(SamplingData[[#This Row],[Losing Candidate]]))),(SamplingData[[#This Row],[Total]]+SamplingData[[#This Row],[Winning Candidate]]-SamplingData[[#This Row],[Losing Candidate]])/(SamplingData[[#Totals],[Winning Candidate]]-SamplingData[[#Totals],[Losing Candidate]]), 0)</f>
        <v>5.2461917704317044E-3</v>
      </c>
      <c r="R296" s="100">
        <f>IF(AND(SamplingData[[#This Row],[Total]]&lt;&gt; 0, NOT(ISBLANK(SamplingData[[#This Row],[Candidate 3]]))),(SamplingData[[#This Row],[Total]]+SamplingData[[#This Row],[Winning Candidate]]-SamplingData[[#This Row],[Candidate 3]])/(SamplingData[[#Totals],[Winning Candidate]]-SamplingData[[#Totals],[Candidate 3]]), 0)</f>
        <v>4.6850304809212011E-3</v>
      </c>
      <c r="S296" s="100">
        <f>IF(AND(SamplingData[[#This Row],[Total]]&lt;&gt; 0, NOT(ISBLANK(SamplingData[[#This Row],[Candidate 4]]))),(SamplingData[[#This Row],[Total]]+SamplingData[[#This Row],[Winning Candidate]]-SamplingData[[#This Row],[Candidate 4]])/(SamplingData[[#Totals],[Winning Candidate]]-SamplingData[[#Totals],[Candidate 4]]), 0)</f>
        <v>0</v>
      </c>
      <c r="T296" s="100">
        <f>IF(AND(SamplingData[[#This Row],[Total]]&lt;&gt; 0, NOT(ISBLANK(SamplingData[[#This Row],[Candidate 5]]))),(SamplingData[[#This Row],[Total]]+SamplingData[[#This Row],[Winning Candidate]]-SamplingData[[#This Row],[Candidate 5]])/(SamplingData[[#Totals],[Winning Candidate]]-SamplingData[[#Totals],[Candidate 5]]), 0)</f>
        <v>0</v>
      </c>
      <c r="U296" s="100">
        <f>IF(AND(SamplingData[[#This Row],[Total]]&lt;&gt; 0, NOT(ISBLANK(SamplingData[[#This Row],[Candidate 6]]))),(SamplingData[[#This Row],[Total]]+SamplingData[[#This Row],[Losing Candidate]]-SamplingData[[#This Row],[Candidate 6]])/(SamplingData[[#Totals],[Winning Candidate]]-SamplingData[[#Totals],[Candidate 6]]), 0)</f>
        <v>0</v>
      </c>
      <c r="V296" s="100">
        <f>IF(AND(SamplingData[[#This Row],[Total]]&lt;&gt; 0, NOT(ISBLANK(SamplingData[[#This Row],[Candidate 7]]))),(SamplingData[[#This Row],[Total]]+SamplingData[[#This Row],[Winning Candidate]]-SamplingData[[#This Row],[Candidate 7]])/(SamplingData[[#Totals],[Winning Candidate]]-SamplingData[[#Totals],[Candidate 7]]), 0)</f>
        <v>0</v>
      </c>
      <c r="W296" s="100">
        <f>IF(AND(SamplingData[[#This Row],[Total]]&lt;&gt; 0, NOT(ISBLANK(SamplingData[[#This Row],[Candidate 8]]))),(SamplingData[[#This Row],[Total]]+SamplingData[[#This Row],[Winning Candidate]]-SamplingData[[#This Row],[Candidate 8]])/(SamplingData[[#Totals],[Winning Candidate]]-SamplingData[[#Totals],[Candidate 8]]), 0)</f>
        <v>0</v>
      </c>
      <c r="X29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6" s="100">
        <f>MAX(SamplingData[[#This Row],[Error Bound (up) - Max. possible relative overstatement - Losing Candidate]:[Error Bound (up) - Max. possible relative overstatement - Candidate 12]])</f>
        <v>5.2461917704317044E-3</v>
      </c>
      <c r="AC296" s="100">
        <f>IF(SamplingData[[#This Row],[Max Error Bound (up)]] = 0,0,SamplingData[[#This Row],[Max Error Bound (up)]]/SamplingData[[#Totals],[Max Error Bound (up)]])</f>
        <v>2.1291960497921564E-3</v>
      </c>
      <c r="AD296" s="104">
        <f>SUM($AC$5:AC296)</f>
        <v>0.67688842214150036</v>
      </c>
      <c r="AE296" s="100" t="str" cm="1">
        <f t="array" ref="AE296">IF(SamplingData[[#This Row],[up/U Selection Probability]] = 0, "Zero", TEXT(SamplingData[[#This Row],[Lower Range]], REPT("0",LEN('General Info'!$B$42))) &amp; " - " &amp; TEXT(SamplingData[[#This Row],[Upper Range]], REPT("0",LEN('General Info'!$B$42))))</f>
        <v>67476 - 67688</v>
      </c>
      <c r="AF296" s="100">
        <f>SamplingData[[#This Row],[Upper Range]]-SamplingData[[#This Row],[Span]]</f>
        <v>67475.922609170811</v>
      </c>
      <c r="AG296" s="100">
        <f>IF(ISNUMBER('General Info'!$B$42), ((SamplingData[[#This Row],[up/U Selection Probability]]) * 'General Info'!$B$44) - 1, 0)</f>
        <v>211.91960497921565</v>
      </c>
      <c r="AH296" s="100">
        <f>IF(ISNUMBER('General Info'!$B$42), (SamplingData[[#This Row],[Running (cumulative) sum]] * ('General Info'!$B$42 -'General Info'!$B$43 + 1)) + 'General Info'!$B$43 - 1, 0)</f>
        <v>67687.842214150034</v>
      </c>
      <c r="AI296" s="100" t="str">
        <f>IF(ISERROR(MATCH(SamplingData[[#This Row],[Batch by Type (p)]],SelectedPrecincts[Batch Name], 0)), "", INDEX(SelectedPrecincts[Draw], MATCH(SamplingData[[#This Row],[Batch by Type (p)]],SelectedPrecincts[Batch Name], 0)))</f>
        <v/>
      </c>
      <c r="AJ296" s="101">
        <f>IF(COUNTIF(SelectedPrecincts[Batch Name],SamplingData[[#This Row],[Batch by Type (p)]]) &lt;&gt; 0, COUNTIF(SelectedPrecincts[Batch Name],SamplingData[[#This Row],[Batch by Type (p)]]), 0)</f>
        <v>0</v>
      </c>
    </row>
    <row r="297" spans="1:36" ht="15" customHeight="1" x14ac:dyDescent="0.35">
      <c r="A297" s="98" t="s">
        <v>508</v>
      </c>
      <c r="B297" s="98">
        <v>70</v>
      </c>
      <c r="C297" s="98">
        <v>5</v>
      </c>
      <c r="D297" s="93">
        <v>0</v>
      </c>
      <c r="E297" s="93"/>
      <c r="F297" s="93"/>
      <c r="G297" s="97"/>
      <c r="H297" s="97"/>
      <c r="I297" s="93"/>
      <c r="J297" s="93"/>
      <c r="K297" s="93"/>
      <c r="L297" s="93"/>
      <c r="M297" s="93"/>
      <c r="N297" s="98">
        <v>0</v>
      </c>
      <c r="O297" s="98">
        <v>1</v>
      </c>
      <c r="P297" s="99">
        <f>SUM(SamplingData[[#This Row],[Winning Candidate]:[Under Votes]])</f>
        <v>76</v>
      </c>
      <c r="Q297" s="100">
        <f>IF(AND(SamplingData[[#This Row],[Total]]&lt;&gt; 0, NOT(ISBLANK(SamplingData[[#This Row],[Losing Candidate]]))),(SamplingData[[#This Row],[Total]]+SamplingData[[#This Row],[Winning Candidate]]-SamplingData[[#This Row],[Losing Candidate]])/(SamplingData[[#Totals],[Winning Candidate]]-SamplingData[[#Totals],[Losing Candidate]]), 0)</f>
        <v>8.9122052967574739E-3</v>
      </c>
      <c r="R297" s="100">
        <f>IF(AND(SamplingData[[#This Row],[Total]]&lt;&gt; 0, NOT(ISBLANK(SamplingData[[#This Row],[Candidate 3]]))),(SamplingData[[#This Row],[Total]]+SamplingData[[#This Row],[Winning Candidate]]-SamplingData[[#This Row],[Candidate 3]])/(SamplingData[[#Totals],[Winning Candidate]]-SamplingData[[#Totals],[Candidate 3]]), 0)</f>
        <v>8.2411379543915111E-3</v>
      </c>
      <c r="S297" s="100">
        <f>IF(AND(SamplingData[[#This Row],[Total]]&lt;&gt; 0, NOT(ISBLANK(SamplingData[[#This Row],[Candidate 4]]))),(SamplingData[[#This Row],[Total]]+SamplingData[[#This Row],[Winning Candidate]]-SamplingData[[#This Row],[Candidate 4]])/(SamplingData[[#Totals],[Winning Candidate]]-SamplingData[[#Totals],[Candidate 4]]), 0)</f>
        <v>0</v>
      </c>
      <c r="T297" s="100">
        <f>IF(AND(SamplingData[[#This Row],[Total]]&lt;&gt; 0, NOT(ISBLANK(SamplingData[[#This Row],[Candidate 5]]))),(SamplingData[[#This Row],[Total]]+SamplingData[[#This Row],[Winning Candidate]]-SamplingData[[#This Row],[Candidate 5]])/(SamplingData[[#Totals],[Winning Candidate]]-SamplingData[[#Totals],[Candidate 5]]), 0)</f>
        <v>0</v>
      </c>
      <c r="U297" s="100">
        <f>IF(AND(SamplingData[[#This Row],[Total]]&lt;&gt; 0, NOT(ISBLANK(SamplingData[[#This Row],[Candidate 6]]))),(SamplingData[[#This Row],[Total]]+SamplingData[[#This Row],[Losing Candidate]]-SamplingData[[#This Row],[Candidate 6]])/(SamplingData[[#Totals],[Winning Candidate]]-SamplingData[[#Totals],[Candidate 6]]), 0)</f>
        <v>0</v>
      </c>
      <c r="V297" s="100">
        <f>IF(AND(SamplingData[[#This Row],[Total]]&lt;&gt; 0, NOT(ISBLANK(SamplingData[[#This Row],[Candidate 7]]))),(SamplingData[[#This Row],[Total]]+SamplingData[[#This Row],[Winning Candidate]]-SamplingData[[#This Row],[Candidate 7]])/(SamplingData[[#Totals],[Winning Candidate]]-SamplingData[[#Totals],[Candidate 7]]), 0)</f>
        <v>0</v>
      </c>
      <c r="W297" s="100">
        <f>IF(AND(SamplingData[[#This Row],[Total]]&lt;&gt; 0, NOT(ISBLANK(SamplingData[[#This Row],[Candidate 8]]))),(SamplingData[[#This Row],[Total]]+SamplingData[[#This Row],[Winning Candidate]]-SamplingData[[#This Row],[Candidate 8]])/(SamplingData[[#Totals],[Winning Candidate]]-SamplingData[[#Totals],[Candidate 8]]), 0)</f>
        <v>0</v>
      </c>
      <c r="X29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7" s="100">
        <f>MAX(SamplingData[[#This Row],[Error Bound (up) - Max. possible relative overstatement - Losing Candidate]:[Error Bound (up) - Max. possible relative overstatement - Candidate 12]])</f>
        <v>8.9122052967574739E-3</v>
      </c>
      <c r="AC297" s="100">
        <f>IF(SamplingData[[#This Row],[Max Error Bound (up)]] = 0,0,SamplingData[[#This Row],[Max Error Bound (up)]]/SamplingData[[#Totals],[Max Error Bound (up)]])</f>
        <v>3.6170679882011336E-3</v>
      </c>
      <c r="AD297" s="104">
        <f>SUM($AC$5:AC297)</f>
        <v>0.68050549012970152</v>
      </c>
      <c r="AE297" s="100" t="str" cm="1">
        <f t="array" ref="AE297">IF(SamplingData[[#This Row],[up/U Selection Probability]] = 0, "Zero", TEXT(SamplingData[[#This Row],[Lower Range]], REPT("0",LEN('General Info'!$B$42))) &amp; " - " &amp; TEXT(SamplingData[[#This Row],[Upper Range]], REPT("0",LEN('General Info'!$B$42))))</f>
        <v>67689 - 68050</v>
      </c>
      <c r="AF297" s="100">
        <f>SamplingData[[#This Row],[Upper Range]]-SamplingData[[#This Row],[Span]]</f>
        <v>67688.842214150034</v>
      </c>
      <c r="AG297" s="100">
        <f>IF(ISNUMBER('General Info'!$B$42), ((SamplingData[[#This Row],[up/U Selection Probability]]) * 'General Info'!$B$44) - 1, 0)</f>
        <v>360.70679882011336</v>
      </c>
      <c r="AH297" s="100">
        <f>IF(ISNUMBER('General Info'!$B$42), (SamplingData[[#This Row],[Running (cumulative) sum]] * ('General Info'!$B$42 -'General Info'!$B$43 + 1)) + 'General Info'!$B$43 - 1, 0)</f>
        <v>68049.54901297015</v>
      </c>
      <c r="AI297" s="100" t="str">
        <f>IF(ISERROR(MATCH(SamplingData[[#This Row],[Batch by Type (p)]],SelectedPrecincts[Batch Name], 0)), "", INDEX(SelectedPrecincts[Draw], MATCH(SamplingData[[#This Row],[Batch by Type (p)]],SelectedPrecincts[Batch Name], 0)))</f>
        <v/>
      </c>
      <c r="AJ297" s="101">
        <f>IF(COUNTIF(SelectedPrecincts[Batch Name],SamplingData[[#This Row],[Batch by Type (p)]]) &lt;&gt; 0, COUNTIF(SelectedPrecincts[Batch Name],SamplingData[[#This Row],[Batch by Type (p)]]), 0)</f>
        <v>0</v>
      </c>
    </row>
    <row r="298" spans="1:36" ht="15" customHeight="1" x14ac:dyDescent="0.35">
      <c r="A298" s="98" t="s">
        <v>509</v>
      </c>
      <c r="B298" s="98">
        <v>164</v>
      </c>
      <c r="C298" s="98">
        <v>7</v>
      </c>
      <c r="D298" s="93">
        <v>7</v>
      </c>
      <c r="E298" s="93"/>
      <c r="F298" s="93"/>
      <c r="G298" s="97"/>
      <c r="H298" s="97"/>
      <c r="I298" s="93"/>
      <c r="J298" s="93"/>
      <c r="K298" s="93"/>
      <c r="L298" s="93"/>
      <c r="M298" s="93"/>
      <c r="N298" s="98">
        <v>0</v>
      </c>
      <c r="O298" s="98">
        <v>1</v>
      </c>
      <c r="P298" s="99">
        <f>SUM(SamplingData[[#This Row],[Winning Candidate]:[Under Votes]])</f>
        <v>179</v>
      </c>
      <c r="Q298" s="100">
        <f>IF(AND(SamplingData[[#This Row],[Total]]&lt;&gt; 0, NOT(ISBLANK(SamplingData[[#This Row],[Losing Candidate]]))),(SamplingData[[#This Row],[Total]]+SamplingData[[#This Row],[Winning Candidate]]-SamplingData[[#This Row],[Losing Candidate]])/(SamplingData[[#Totals],[Winning Candidate]]-SamplingData[[#Totals],[Losing Candidate]]), 0)</f>
        <v>2.1237595600783768E-2</v>
      </c>
      <c r="R298" s="100">
        <f>IF(AND(SamplingData[[#This Row],[Total]]&lt;&gt; 0, NOT(ISBLANK(SamplingData[[#This Row],[Candidate 3]]))),(SamplingData[[#This Row],[Total]]+SamplingData[[#This Row],[Winning Candidate]]-SamplingData[[#This Row],[Candidate 3]])/(SamplingData[[#Totals],[Winning Candidate]]-SamplingData[[#Totals],[Candidate 3]]), 0)</f>
        <v>1.8965906525174984E-2</v>
      </c>
      <c r="S298" s="100">
        <f>IF(AND(SamplingData[[#This Row],[Total]]&lt;&gt; 0, NOT(ISBLANK(SamplingData[[#This Row],[Candidate 4]]))),(SamplingData[[#This Row],[Total]]+SamplingData[[#This Row],[Winning Candidate]]-SamplingData[[#This Row],[Candidate 4]])/(SamplingData[[#Totals],[Winning Candidate]]-SamplingData[[#Totals],[Candidate 4]]), 0)</f>
        <v>0</v>
      </c>
      <c r="T298" s="100">
        <f>IF(AND(SamplingData[[#This Row],[Total]]&lt;&gt; 0, NOT(ISBLANK(SamplingData[[#This Row],[Candidate 5]]))),(SamplingData[[#This Row],[Total]]+SamplingData[[#This Row],[Winning Candidate]]-SamplingData[[#This Row],[Candidate 5]])/(SamplingData[[#Totals],[Winning Candidate]]-SamplingData[[#Totals],[Candidate 5]]), 0)</f>
        <v>0</v>
      </c>
      <c r="U298" s="100">
        <f>IF(AND(SamplingData[[#This Row],[Total]]&lt;&gt; 0, NOT(ISBLANK(SamplingData[[#This Row],[Candidate 6]]))),(SamplingData[[#This Row],[Total]]+SamplingData[[#This Row],[Losing Candidate]]-SamplingData[[#This Row],[Candidate 6]])/(SamplingData[[#Totals],[Winning Candidate]]-SamplingData[[#Totals],[Candidate 6]]), 0)</f>
        <v>0</v>
      </c>
      <c r="V298" s="100">
        <f>IF(AND(SamplingData[[#This Row],[Total]]&lt;&gt; 0, NOT(ISBLANK(SamplingData[[#This Row],[Candidate 7]]))),(SamplingData[[#This Row],[Total]]+SamplingData[[#This Row],[Winning Candidate]]-SamplingData[[#This Row],[Candidate 7]])/(SamplingData[[#Totals],[Winning Candidate]]-SamplingData[[#Totals],[Candidate 7]]), 0)</f>
        <v>0</v>
      </c>
      <c r="W298" s="100">
        <f>IF(AND(SamplingData[[#This Row],[Total]]&lt;&gt; 0, NOT(ISBLANK(SamplingData[[#This Row],[Candidate 8]]))),(SamplingData[[#This Row],[Total]]+SamplingData[[#This Row],[Winning Candidate]]-SamplingData[[#This Row],[Candidate 8]])/(SamplingData[[#Totals],[Winning Candidate]]-SamplingData[[#Totals],[Candidate 8]]), 0)</f>
        <v>0</v>
      </c>
      <c r="X29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8" s="100">
        <f>MAX(SamplingData[[#This Row],[Error Bound (up) - Max. possible relative overstatement - Losing Candidate]:[Error Bound (up) - Max. possible relative overstatement - Candidate 12]])</f>
        <v>2.1237595600783768E-2</v>
      </c>
      <c r="AC298" s="100">
        <f>IF(SamplingData[[#This Row],[Max Error Bound (up)]] = 0,0,SamplingData[[#This Row],[Max Error Bound (up)]]/SamplingData[[#Totals],[Max Error Bound (up)]])</f>
        <v>8.619396056989935E-3</v>
      </c>
      <c r="AD298" s="104">
        <f>SUM($AC$5:AC298)</f>
        <v>0.68912488618669143</v>
      </c>
      <c r="AE298" s="100" t="str" cm="1">
        <f t="array" ref="AE298">IF(SamplingData[[#This Row],[up/U Selection Probability]] = 0, "Zero", TEXT(SamplingData[[#This Row],[Lower Range]], REPT("0",LEN('General Info'!$B$42))) &amp; " - " &amp; TEXT(SamplingData[[#This Row],[Upper Range]], REPT("0",LEN('General Info'!$B$42))))</f>
        <v>68051 - 68911</v>
      </c>
      <c r="AF298" s="100">
        <f>SamplingData[[#This Row],[Upper Range]]-SamplingData[[#This Row],[Span]]</f>
        <v>68050.54901297015</v>
      </c>
      <c r="AG298" s="100">
        <f>IF(ISNUMBER('General Info'!$B$42), ((SamplingData[[#This Row],[up/U Selection Probability]]) * 'General Info'!$B$44) - 1, 0)</f>
        <v>860.93960569899355</v>
      </c>
      <c r="AH298" s="100">
        <f>IF(ISNUMBER('General Info'!$B$42), (SamplingData[[#This Row],[Running (cumulative) sum]] * ('General Info'!$B$42 -'General Info'!$B$43 + 1)) + 'General Info'!$B$43 - 1, 0)</f>
        <v>68911.488618669144</v>
      </c>
      <c r="AI298" s="100" t="str">
        <f>IF(ISERROR(MATCH(SamplingData[[#This Row],[Batch by Type (p)]],SelectedPrecincts[Batch Name], 0)), "", INDEX(SelectedPrecincts[Draw], MATCH(SamplingData[[#This Row],[Batch by Type (p)]],SelectedPrecincts[Batch Name], 0)))</f>
        <v/>
      </c>
      <c r="AJ298" s="101">
        <f>IF(COUNTIF(SelectedPrecincts[Batch Name],SamplingData[[#This Row],[Batch by Type (p)]]) &lt;&gt; 0, COUNTIF(SelectedPrecincts[Batch Name],SamplingData[[#This Row],[Batch by Type (p)]]), 0)</f>
        <v>0</v>
      </c>
    </row>
    <row r="299" spans="1:36" ht="15" customHeight="1" x14ac:dyDescent="0.35">
      <c r="A299" s="98" t="s">
        <v>510</v>
      </c>
      <c r="B299" s="98">
        <v>91</v>
      </c>
      <c r="C299" s="98">
        <v>1</v>
      </c>
      <c r="D299" s="93">
        <v>3</v>
      </c>
      <c r="E299" s="93"/>
      <c r="F299" s="93"/>
      <c r="G299" s="97"/>
      <c r="H299" s="97"/>
      <c r="I299" s="93"/>
      <c r="J299" s="93"/>
      <c r="K299" s="93"/>
      <c r="L299" s="93"/>
      <c r="M299" s="93"/>
      <c r="N299" s="98">
        <v>0</v>
      </c>
      <c r="O299" s="98">
        <v>2</v>
      </c>
      <c r="P299" s="99">
        <f>SUM(SamplingData[[#This Row],[Winning Candidate]:[Under Votes]])</f>
        <v>97</v>
      </c>
      <c r="Q299" s="100">
        <f>IF(AND(SamplingData[[#This Row],[Total]]&lt;&gt; 0, NOT(ISBLANK(SamplingData[[#This Row],[Losing Candidate]]))),(SamplingData[[#This Row],[Total]]+SamplingData[[#This Row],[Winning Candidate]]-SamplingData[[#This Row],[Losing Candidate]])/(SamplingData[[#Totals],[Winning Candidate]]-SamplingData[[#Totals],[Losing Candidate]]), 0)</f>
        <v>1.1819733265912395E-2</v>
      </c>
      <c r="R299" s="100">
        <f>IF(AND(SamplingData[[#This Row],[Total]]&lt;&gt; 0, NOT(ISBLANK(SamplingData[[#This Row],[Candidate 3]]))),(SamplingData[[#This Row],[Total]]+SamplingData[[#This Row],[Winning Candidate]]-SamplingData[[#This Row],[Candidate 3]])/(SamplingData[[#Totals],[Winning Candidate]]-SamplingData[[#Totals],[Candidate 3]]), 0)</f>
        <v>1.0442537818920749E-2</v>
      </c>
      <c r="S299" s="100">
        <f>IF(AND(SamplingData[[#This Row],[Total]]&lt;&gt; 0, NOT(ISBLANK(SamplingData[[#This Row],[Candidate 4]]))),(SamplingData[[#This Row],[Total]]+SamplingData[[#This Row],[Winning Candidate]]-SamplingData[[#This Row],[Candidate 4]])/(SamplingData[[#Totals],[Winning Candidate]]-SamplingData[[#Totals],[Candidate 4]]), 0)</f>
        <v>0</v>
      </c>
      <c r="T299" s="100">
        <f>IF(AND(SamplingData[[#This Row],[Total]]&lt;&gt; 0, NOT(ISBLANK(SamplingData[[#This Row],[Candidate 5]]))),(SamplingData[[#This Row],[Total]]+SamplingData[[#This Row],[Winning Candidate]]-SamplingData[[#This Row],[Candidate 5]])/(SamplingData[[#Totals],[Winning Candidate]]-SamplingData[[#Totals],[Candidate 5]]), 0)</f>
        <v>0</v>
      </c>
      <c r="U299" s="100">
        <f>IF(AND(SamplingData[[#This Row],[Total]]&lt;&gt; 0, NOT(ISBLANK(SamplingData[[#This Row],[Candidate 6]]))),(SamplingData[[#This Row],[Total]]+SamplingData[[#This Row],[Losing Candidate]]-SamplingData[[#This Row],[Candidate 6]])/(SamplingData[[#Totals],[Winning Candidate]]-SamplingData[[#Totals],[Candidate 6]]), 0)</f>
        <v>0</v>
      </c>
      <c r="V299" s="100">
        <f>IF(AND(SamplingData[[#This Row],[Total]]&lt;&gt; 0, NOT(ISBLANK(SamplingData[[#This Row],[Candidate 7]]))),(SamplingData[[#This Row],[Total]]+SamplingData[[#This Row],[Winning Candidate]]-SamplingData[[#This Row],[Candidate 7]])/(SamplingData[[#Totals],[Winning Candidate]]-SamplingData[[#Totals],[Candidate 7]]), 0)</f>
        <v>0</v>
      </c>
      <c r="W299" s="100">
        <f>IF(AND(SamplingData[[#This Row],[Total]]&lt;&gt; 0, NOT(ISBLANK(SamplingData[[#This Row],[Candidate 8]]))),(SamplingData[[#This Row],[Total]]+SamplingData[[#This Row],[Winning Candidate]]-SamplingData[[#This Row],[Candidate 8]])/(SamplingData[[#Totals],[Winning Candidate]]-SamplingData[[#Totals],[Candidate 8]]), 0)</f>
        <v>0</v>
      </c>
      <c r="X29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9" s="100">
        <f>MAX(SamplingData[[#This Row],[Error Bound (up) - Max. possible relative overstatement - Losing Candidate]:[Error Bound (up) - Max. possible relative overstatement - Candidate 12]])</f>
        <v>1.1819733265912395E-2</v>
      </c>
      <c r="AC299" s="100">
        <f>IF(SamplingData[[#This Row],[Max Error Bound (up)]] = 0,0,SamplingData[[#This Row],[Max Error Bound (up)]]/SamplingData[[#Totals],[Max Error Bound (up)]])</f>
        <v>4.7971043531461841E-3</v>
      </c>
      <c r="AD299" s="104">
        <f>SUM($AC$5:AC299)</f>
        <v>0.69392199053983761</v>
      </c>
      <c r="AE299" s="100" t="str" cm="1">
        <f t="array" ref="AE299">IF(SamplingData[[#This Row],[up/U Selection Probability]] = 0, "Zero", TEXT(SamplingData[[#This Row],[Lower Range]], REPT("0",LEN('General Info'!$B$42))) &amp; " - " &amp; TEXT(SamplingData[[#This Row],[Upper Range]], REPT("0",LEN('General Info'!$B$42))))</f>
        <v>68912 - 69391</v>
      </c>
      <c r="AF299" s="100">
        <f>SamplingData[[#This Row],[Upper Range]]-SamplingData[[#This Row],[Span]]</f>
        <v>68912.488618669144</v>
      </c>
      <c r="AG299" s="100">
        <f>IF(ISNUMBER('General Info'!$B$42), ((SamplingData[[#This Row],[up/U Selection Probability]]) * 'General Info'!$B$44) - 1, 0)</f>
        <v>478.71043531461839</v>
      </c>
      <c r="AH299" s="100">
        <f>IF(ISNUMBER('General Info'!$B$42), (SamplingData[[#This Row],[Running (cumulative) sum]] * ('General Info'!$B$42 -'General Info'!$B$43 + 1)) + 'General Info'!$B$43 - 1, 0)</f>
        <v>69391.199053983757</v>
      </c>
      <c r="AI299" s="100" t="str">
        <f>IF(ISERROR(MATCH(SamplingData[[#This Row],[Batch by Type (p)]],SelectedPrecincts[Batch Name], 0)), "", INDEX(SelectedPrecincts[Draw], MATCH(SamplingData[[#This Row],[Batch by Type (p)]],SelectedPrecincts[Batch Name], 0)))</f>
        <v/>
      </c>
      <c r="AJ299" s="101">
        <f>IF(COUNTIF(SelectedPrecincts[Batch Name],SamplingData[[#This Row],[Batch by Type (p)]]) &lt;&gt; 0, COUNTIF(SelectedPrecincts[Batch Name],SamplingData[[#This Row],[Batch by Type (p)]]), 0)</f>
        <v>0</v>
      </c>
    </row>
    <row r="300" spans="1:36" ht="15" customHeight="1" x14ac:dyDescent="0.35">
      <c r="A300" s="98" t="s">
        <v>511</v>
      </c>
      <c r="B300" s="98">
        <v>95</v>
      </c>
      <c r="C300" s="98">
        <v>6</v>
      </c>
      <c r="D300" s="93">
        <v>1</v>
      </c>
      <c r="E300" s="93"/>
      <c r="F300" s="93"/>
      <c r="G300" s="97"/>
      <c r="H300" s="97"/>
      <c r="I300" s="93"/>
      <c r="J300" s="93"/>
      <c r="K300" s="93"/>
      <c r="L300" s="93"/>
      <c r="M300" s="93"/>
      <c r="N300" s="98">
        <v>0</v>
      </c>
      <c r="O300" s="98">
        <v>3</v>
      </c>
      <c r="P300" s="99">
        <f>SUM(SamplingData[[#This Row],[Winning Candidate]:[Under Votes]])</f>
        <v>105</v>
      </c>
      <c r="Q300" s="100">
        <f>IF(AND(SamplingData[[#This Row],[Total]]&lt;&gt; 0, NOT(ISBLANK(SamplingData[[#This Row],[Losing Candidate]]))),(SamplingData[[#This Row],[Total]]+SamplingData[[#This Row],[Winning Candidate]]-SamplingData[[#This Row],[Losing Candidate]])/(SamplingData[[#Totals],[Winning Candidate]]-SamplingData[[#Totals],[Losing Candidate]]), 0)</f>
        <v>1.2262183174262057E-2</v>
      </c>
      <c r="R300" s="100">
        <f>IF(AND(SamplingData[[#This Row],[Total]]&lt;&gt; 0, NOT(ISBLANK(SamplingData[[#This Row],[Candidate 3]]))),(SamplingData[[#This Row],[Total]]+SamplingData[[#This Row],[Winning Candidate]]-SamplingData[[#This Row],[Candidate 3]])/(SamplingData[[#Totals],[Winning Candidate]]-SamplingData[[#Totals],[Candidate 3]]), 0)</f>
        <v>1.1232783924136375E-2</v>
      </c>
      <c r="S300" s="100">
        <f>IF(AND(SamplingData[[#This Row],[Total]]&lt;&gt; 0, NOT(ISBLANK(SamplingData[[#This Row],[Candidate 4]]))),(SamplingData[[#This Row],[Total]]+SamplingData[[#This Row],[Winning Candidate]]-SamplingData[[#This Row],[Candidate 4]])/(SamplingData[[#Totals],[Winning Candidate]]-SamplingData[[#Totals],[Candidate 4]]), 0)</f>
        <v>0</v>
      </c>
      <c r="T300" s="100">
        <f>IF(AND(SamplingData[[#This Row],[Total]]&lt;&gt; 0, NOT(ISBLANK(SamplingData[[#This Row],[Candidate 5]]))),(SamplingData[[#This Row],[Total]]+SamplingData[[#This Row],[Winning Candidate]]-SamplingData[[#This Row],[Candidate 5]])/(SamplingData[[#Totals],[Winning Candidate]]-SamplingData[[#Totals],[Candidate 5]]), 0)</f>
        <v>0</v>
      </c>
      <c r="U300" s="100">
        <f>IF(AND(SamplingData[[#This Row],[Total]]&lt;&gt; 0, NOT(ISBLANK(SamplingData[[#This Row],[Candidate 6]]))),(SamplingData[[#This Row],[Total]]+SamplingData[[#This Row],[Losing Candidate]]-SamplingData[[#This Row],[Candidate 6]])/(SamplingData[[#Totals],[Winning Candidate]]-SamplingData[[#Totals],[Candidate 6]]), 0)</f>
        <v>0</v>
      </c>
      <c r="V300" s="100">
        <f>IF(AND(SamplingData[[#This Row],[Total]]&lt;&gt; 0, NOT(ISBLANK(SamplingData[[#This Row],[Candidate 7]]))),(SamplingData[[#This Row],[Total]]+SamplingData[[#This Row],[Winning Candidate]]-SamplingData[[#This Row],[Candidate 7]])/(SamplingData[[#Totals],[Winning Candidate]]-SamplingData[[#Totals],[Candidate 7]]), 0)</f>
        <v>0</v>
      </c>
      <c r="W300" s="100">
        <f>IF(AND(SamplingData[[#This Row],[Total]]&lt;&gt; 0, NOT(ISBLANK(SamplingData[[#This Row],[Candidate 8]]))),(SamplingData[[#This Row],[Total]]+SamplingData[[#This Row],[Winning Candidate]]-SamplingData[[#This Row],[Candidate 8]])/(SamplingData[[#Totals],[Winning Candidate]]-SamplingData[[#Totals],[Candidate 8]]), 0)</f>
        <v>0</v>
      </c>
      <c r="X30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0" s="100">
        <f>MAX(SamplingData[[#This Row],[Error Bound (up) - Max. possible relative overstatement - Losing Candidate]:[Error Bound (up) - Max. possible relative overstatement - Candidate 12]])</f>
        <v>1.2262183174262057E-2</v>
      </c>
      <c r="AC300" s="100">
        <f>IF(SamplingData[[#This Row],[Max Error Bound (up)]] = 0,0,SamplingData[[#This Row],[Max Error Bound (up)]]/SamplingData[[#Totals],[Max Error Bound (up)]])</f>
        <v>4.9766751043334749E-3</v>
      </c>
      <c r="AD300" s="104">
        <f>SUM($AC$5:AC300)</f>
        <v>0.69889866564417114</v>
      </c>
      <c r="AE300" s="100" t="str" cm="1">
        <f t="array" ref="AE300">IF(SamplingData[[#This Row],[up/U Selection Probability]] = 0, "Zero", TEXT(SamplingData[[#This Row],[Lower Range]], REPT("0",LEN('General Info'!$B$42))) &amp; " - " &amp; TEXT(SamplingData[[#This Row],[Upper Range]], REPT("0",LEN('General Info'!$B$42))))</f>
        <v>69392 - 69889</v>
      </c>
      <c r="AF300" s="100">
        <f>SamplingData[[#This Row],[Upper Range]]-SamplingData[[#This Row],[Span]]</f>
        <v>69392.199053983772</v>
      </c>
      <c r="AG300" s="100">
        <f>IF(ISNUMBER('General Info'!$B$42), ((SamplingData[[#This Row],[up/U Selection Probability]]) * 'General Info'!$B$44) - 1, 0)</f>
        <v>496.6675104333475</v>
      </c>
      <c r="AH300" s="100">
        <f>IF(ISNUMBER('General Info'!$B$42), (SamplingData[[#This Row],[Running (cumulative) sum]] * ('General Info'!$B$42 -'General Info'!$B$43 + 1)) + 'General Info'!$B$43 - 1, 0)</f>
        <v>69888.866564417112</v>
      </c>
      <c r="AI300" s="100">
        <f>IF(ISERROR(MATCH(SamplingData[[#This Row],[Batch by Type (p)]],SelectedPrecincts[Batch Name], 0)), "", INDEX(SelectedPrecincts[Draw], MATCH(SamplingData[[#This Row],[Batch by Type (p)]],SelectedPrecincts[Batch Name], 0)))</f>
        <v>5</v>
      </c>
      <c r="AJ300" s="101">
        <f>IF(COUNTIF(SelectedPrecincts[Batch Name],SamplingData[[#This Row],[Batch by Type (p)]]) &lt;&gt; 0, COUNTIF(SelectedPrecincts[Batch Name],SamplingData[[#This Row],[Batch by Type (p)]]), 0)</f>
        <v>1</v>
      </c>
    </row>
    <row r="301" spans="1:36" ht="15" customHeight="1" x14ac:dyDescent="0.35">
      <c r="A301" s="98" t="s">
        <v>512</v>
      </c>
      <c r="B301" s="98">
        <v>232</v>
      </c>
      <c r="C301" s="98">
        <v>21</v>
      </c>
      <c r="D301" s="93">
        <v>11</v>
      </c>
      <c r="E301" s="93"/>
      <c r="F301" s="93"/>
      <c r="G301" s="97"/>
      <c r="H301" s="97"/>
      <c r="I301" s="93"/>
      <c r="J301" s="93"/>
      <c r="K301" s="93"/>
      <c r="L301" s="93"/>
      <c r="M301" s="93"/>
      <c r="N301" s="98">
        <v>0</v>
      </c>
      <c r="O301" s="98">
        <v>4</v>
      </c>
      <c r="P301" s="99">
        <f>SUM(SamplingData[[#This Row],[Winning Candidate]:[Under Votes]])</f>
        <v>268</v>
      </c>
      <c r="Q301" s="100">
        <f>IF(AND(SamplingData[[#This Row],[Total]]&lt;&gt; 0, NOT(ISBLANK(SamplingData[[#This Row],[Losing Candidate]]))),(SamplingData[[#This Row],[Total]]+SamplingData[[#This Row],[Winning Candidate]]-SamplingData[[#This Row],[Losing Candidate]])/(SamplingData[[#Totals],[Winning Candidate]]-SamplingData[[#Totals],[Losing Candidate]]), 0)</f>
        <v>3.0276215157069717E-2</v>
      </c>
      <c r="R301" s="100">
        <f>IF(AND(SamplingData[[#This Row],[Total]]&lt;&gt; 0, NOT(ISBLANK(SamplingData[[#This Row],[Candidate 3]]))),(SamplingData[[#This Row],[Total]]+SamplingData[[#This Row],[Winning Candidate]]-SamplingData[[#This Row],[Candidate 3]])/(SamplingData[[#Totals],[Winning Candidate]]-SamplingData[[#Totals],[Candidate 3]]), 0)</f>
        <v>2.7602167532174305E-2</v>
      </c>
      <c r="S301" s="100">
        <f>IF(AND(SamplingData[[#This Row],[Total]]&lt;&gt; 0, NOT(ISBLANK(SamplingData[[#This Row],[Candidate 4]]))),(SamplingData[[#This Row],[Total]]+SamplingData[[#This Row],[Winning Candidate]]-SamplingData[[#This Row],[Candidate 4]])/(SamplingData[[#Totals],[Winning Candidate]]-SamplingData[[#Totals],[Candidate 4]]), 0)</f>
        <v>0</v>
      </c>
      <c r="T301" s="100">
        <f>IF(AND(SamplingData[[#This Row],[Total]]&lt;&gt; 0, NOT(ISBLANK(SamplingData[[#This Row],[Candidate 5]]))),(SamplingData[[#This Row],[Total]]+SamplingData[[#This Row],[Winning Candidate]]-SamplingData[[#This Row],[Candidate 5]])/(SamplingData[[#Totals],[Winning Candidate]]-SamplingData[[#Totals],[Candidate 5]]), 0)</f>
        <v>0</v>
      </c>
      <c r="U301" s="100">
        <f>IF(AND(SamplingData[[#This Row],[Total]]&lt;&gt; 0, NOT(ISBLANK(SamplingData[[#This Row],[Candidate 6]]))),(SamplingData[[#This Row],[Total]]+SamplingData[[#This Row],[Losing Candidate]]-SamplingData[[#This Row],[Candidate 6]])/(SamplingData[[#Totals],[Winning Candidate]]-SamplingData[[#Totals],[Candidate 6]]), 0)</f>
        <v>0</v>
      </c>
      <c r="V301" s="100">
        <f>IF(AND(SamplingData[[#This Row],[Total]]&lt;&gt; 0, NOT(ISBLANK(SamplingData[[#This Row],[Candidate 7]]))),(SamplingData[[#This Row],[Total]]+SamplingData[[#This Row],[Winning Candidate]]-SamplingData[[#This Row],[Candidate 7]])/(SamplingData[[#Totals],[Winning Candidate]]-SamplingData[[#Totals],[Candidate 7]]), 0)</f>
        <v>0</v>
      </c>
      <c r="W301" s="100">
        <f>IF(AND(SamplingData[[#This Row],[Total]]&lt;&gt; 0, NOT(ISBLANK(SamplingData[[#This Row],[Candidate 8]]))),(SamplingData[[#This Row],[Total]]+SamplingData[[#This Row],[Winning Candidate]]-SamplingData[[#This Row],[Candidate 8]])/(SamplingData[[#Totals],[Winning Candidate]]-SamplingData[[#Totals],[Candidate 8]]), 0)</f>
        <v>0</v>
      </c>
      <c r="X30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1" s="100">
        <f>MAX(SamplingData[[#This Row],[Error Bound (up) - Max. possible relative overstatement - Losing Candidate]:[Error Bound (up) - Max. possible relative overstatement - Candidate 12]])</f>
        <v>3.0276215157069717E-2</v>
      </c>
      <c r="AC301" s="100">
        <f>IF(SamplingData[[#This Row],[Max Error Bound (up)]] = 0,0,SamplingData[[#This Row],[Max Error Bound (up)]]/SamplingData[[#Totals],[Max Error Bound (up)]])</f>
        <v>1.2287769974101723E-2</v>
      </c>
      <c r="AD301" s="104">
        <f>SUM($AC$5:AC301)</f>
        <v>0.71118643561827288</v>
      </c>
      <c r="AE301" s="100" t="str" cm="1">
        <f t="array" ref="AE301">IF(SamplingData[[#This Row],[up/U Selection Probability]] = 0, "Zero", TEXT(SamplingData[[#This Row],[Lower Range]], REPT("0",LEN('General Info'!$B$42))) &amp; " - " &amp; TEXT(SamplingData[[#This Row],[Upper Range]], REPT("0",LEN('General Info'!$B$42))))</f>
        <v>69890 - 71118</v>
      </c>
      <c r="AF301" s="100">
        <f>SamplingData[[#This Row],[Upper Range]]-SamplingData[[#This Row],[Span]]</f>
        <v>69889.866564417127</v>
      </c>
      <c r="AG301" s="100">
        <f>IF(ISNUMBER('General Info'!$B$42), ((SamplingData[[#This Row],[up/U Selection Probability]]) * 'General Info'!$B$44) - 1, 0)</f>
        <v>1227.7769974101723</v>
      </c>
      <c r="AH301" s="100">
        <f>IF(ISNUMBER('General Info'!$B$42), (SamplingData[[#This Row],[Running (cumulative) sum]] * ('General Info'!$B$42 -'General Info'!$B$43 + 1)) + 'General Info'!$B$43 - 1, 0)</f>
        <v>71117.643561827295</v>
      </c>
      <c r="AI301" s="100" t="str">
        <f>IF(ISERROR(MATCH(SamplingData[[#This Row],[Batch by Type (p)]],SelectedPrecincts[Batch Name], 0)), "", INDEX(SelectedPrecincts[Draw], MATCH(SamplingData[[#This Row],[Batch by Type (p)]],SelectedPrecincts[Batch Name], 0)))</f>
        <v/>
      </c>
      <c r="AJ301" s="101">
        <f>IF(COUNTIF(SelectedPrecincts[Batch Name],SamplingData[[#This Row],[Batch by Type (p)]]) &lt;&gt; 0, COUNTIF(SelectedPrecincts[Batch Name],SamplingData[[#This Row],[Batch by Type (p)]]), 0)</f>
        <v>0</v>
      </c>
    </row>
    <row r="302" spans="1:36" ht="15" customHeight="1" x14ac:dyDescent="0.35">
      <c r="A302" s="98" t="s">
        <v>513</v>
      </c>
      <c r="B302" s="98">
        <v>88</v>
      </c>
      <c r="C302" s="98">
        <v>12</v>
      </c>
      <c r="D302" s="93">
        <v>2</v>
      </c>
      <c r="E302" s="93"/>
      <c r="F302" s="93"/>
      <c r="G302" s="97"/>
      <c r="H302" s="97"/>
      <c r="I302" s="93"/>
      <c r="J302" s="93"/>
      <c r="K302" s="93"/>
      <c r="L302" s="93"/>
      <c r="M302" s="93"/>
      <c r="N302" s="98">
        <v>0</v>
      </c>
      <c r="O302" s="98">
        <v>3</v>
      </c>
      <c r="P302" s="99">
        <f>SUM(SamplingData[[#This Row],[Winning Candidate]:[Under Votes]])</f>
        <v>105</v>
      </c>
      <c r="Q302" s="100">
        <f>IF(AND(SamplingData[[#This Row],[Total]]&lt;&gt; 0, NOT(ISBLANK(SamplingData[[#This Row],[Losing Candidate]]))),(SamplingData[[#This Row],[Total]]+SamplingData[[#This Row],[Winning Candidate]]-SamplingData[[#This Row],[Losing Candidate]])/(SamplingData[[#Totals],[Winning Candidate]]-SamplingData[[#Totals],[Losing Candidate]]), 0)</f>
        <v>1.144049048732697E-2</v>
      </c>
      <c r="R302" s="100">
        <f>IF(AND(SamplingData[[#This Row],[Total]]&lt;&gt; 0, NOT(ISBLANK(SamplingData[[#This Row],[Candidate 3]]))),(SamplingData[[#This Row],[Total]]+SamplingData[[#This Row],[Winning Candidate]]-SamplingData[[#This Row],[Candidate 3]])/(SamplingData[[#Totals],[Winning Candidate]]-SamplingData[[#Totals],[Candidate 3]]), 0)</f>
        <v>1.0781214721156018E-2</v>
      </c>
      <c r="S302" s="100">
        <f>IF(AND(SamplingData[[#This Row],[Total]]&lt;&gt; 0, NOT(ISBLANK(SamplingData[[#This Row],[Candidate 4]]))),(SamplingData[[#This Row],[Total]]+SamplingData[[#This Row],[Winning Candidate]]-SamplingData[[#This Row],[Candidate 4]])/(SamplingData[[#Totals],[Winning Candidate]]-SamplingData[[#Totals],[Candidate 4]]), 0)</f>
        <v>0</v>
      </c>
      <c r="T302" s="100">
        <f>IF(AND(SamplingData[[#This Row],[Total]]&lt;&gt; 0, NOT(ISBLANK(SamplingData[[#This Row],[Candidate 5]]))),(SamplingData[[#This Row],[Total]]+SamplingData[[#This Row],[Winning Candidate]]-SamplingData[[#This Row],[Candidate 5]])/(SamplingData[[#Totals],[Winning Candidate]]-SamplingData[[#Totals],[Candidate 5]]), 0)</f>
        <v>0</v>
      </c>
      <c r="U302" s="100">
        <f>IF(AND(SamplingData[[#This Row],[Total]]&lt;&gt; 0, NOT(ISBLANK(SamplingData[[#This Row],[Candidate 6]]))),(SamplingData[[#This Row],[Total]]+SamplingData[[#This Row],[Losing Candidate]]-SamplingData[[#This Row],[Candidate 6]])/(SamplingData[[#Totals],[Winning Candidate]]-SamplingData[[#Totals],[Candidate 6]]), 0)</f>
        <v>0</v>
      </c>
      <c r="V302" s="100">
        <f>IF(AND(SamplingData[[#This Row],[Total]]&lt;&gt; 0, NOT(ISBLANK(SamplingData[[#This Row],[Candidate 7]]))),(SamplingData[[#This Row],[Total]]+SamplingData[[#This Row],[Winning Candidate]]-SamplingData[[#This Row],[Candidate 7]])/(SamplingData[[#Totals],[Winning Candidate]]-SamplingData[[#Totals],[Candidate 7]]), 0)</f>
        <v>0</v>
      </c>
      <c r="W302" s="100">
        <f>IF(AND(SamplingData[[#This Row],[Total]]&lt;&gt; 0, NOT(ISBLANK(SamplingData[[#This Row],[Candidate 8]]))),(SamplingData[[#This Row],[Total]]+SamplingData[[#This Row],[Winning Candidate]]-SamplingData[[#This Row],[Candidate 8]])/(SamplingData[[#Totals],[Winning Candidate]]-SamplingData[[#Totals],[Candidate 8]]), 0)</f>
        <v>0</v>
      </c>
      <c r="X30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2" s="100">
        <f>MAX(SamplingData[[#This Row],[Error Bound (up) - Max. possible relative overstatement - Losing Candidate]:[Error Bound (up) - Max. possible relative overstatement - Candidate 12]])</f>
        <v>1.144049048732697E-2</v>
      </c>
      <c r="AC302" s="100">
        <f>IF(SamplingData[[#This Row],[Max Error Bound (up)]] = 0,0,SamplingData[[#This Row],[Max Error Bound (up)]]/SamplingData[[#Totals],[Max Error Bound (up)]])</f>
        <v>4.6431865664142207E-3</v>
      </c>
      <c r="AD302" s="104">
        <f>SUM($AC$5:AC302)</f>
        <v>0.71582962218468715</v>
      </c>
      <c r="AE302" s="100" t="str" cm="1">
        <f t="array" ref="AE302">IF(SamplingData[[#This Row],[up/U Selection Probability]] = 0, "Zero", TEXT(SamplingData[[#This Row],[Lower Range]], REPT("0",LEN('General Info'!$B$42))) &amp; " - " &amp; TEXT(SamplingData[[#This Row],[Upper Range]], REPT("0",LEN('General Info'!$B$42))))</f>
        <v>71119 - 71582</v>
      </c>
      <c r="AF302" s="100">
        <f>SamplingData[[#This Row],[Upper Range]]-SamplingData[[#This Row],[Span]]</f>
        <v>71118.643561827295</v>
      </c>
      <c r="AG302" s="100">
        <f>IF(ISNUMBER('General Info'!$B$42), ((SamplingData[[#This Row],[up/U Selection Probability]]) * 'General Info'!$B$44) - 1, 0)</f>
        <v>463.31865664142208</v>
      </c>
      <c r="AH302" s="100">
        <f>IF(ISNUMBER('General Info'!$B$42), (SamplingData[[#This Row],[Running (cumulative) sum]] * ('General Info'!$B$42 -'General Info'!$B$43 + 1)) + 'General Info'!$B$43 - 1, 0)</f>
        <v>71581.962218468718</v>
      </c>
      <c r="AI302" s="100" t="str">
        <f>IF(ISERROR(MATCH(SamplingData[[#This Row],[Batch by Type (p)]],SelectedPrecincts[Batch Name], 0)), "", INDEX(SelectedPrecincts[Draw], MATCH(SamplingData[[#This Row],[Batch by Type (p)]],SelectedPrecincts[Batch Name], 0)))</f>
        <v/>
      </c>
      <c r="AJ302" s="101">
        <f>IF(COUNTIF(SelectedPrecincts[Batch Name],SamplingData[[#This Row],[Batch by Type (p)]]) &lt;&gt; 0, COUNTIF(SelectedPrecincts[Batch Name],SamplingData[[#This Row],[Batch by Type (p)]]), 0)</f>
        <v>0</v>
      </c>
    </row>
    <row r="303" spans="1:36" ht="15" customHeight="1" x14ac:dyDescent="0.35">
      <c r="A303" s="98" t="s">
        <v>514</v>
      </c>
      <c r="B303" s="98">
        <v>43</v>
      </c>
      <c r="C303" s="98">
        <v>1</v>
      </c>
      <c r="D303" s="93">
        <v>0</v>
      </c>
      <c r="E303" s="93"/>
      <c r="F303" s="93"/>
      <c r="G303" s="97"/>
      <c r="H303" s="97"/>
      <c r="I303" s="93"/>
      <c r="J303" s="93"/>
      <c r="K303" s="93"/>
      <c r="L303" s="93"/>
      <c r="M303" s="93"/>
      <c r="N303" s="98">
        <v>0</v>
      </c>
      <c r="O303" s="98">
        <v>0</v>
      </c>
      <c r="P303" s="99">
        <f>SUM(SamplingData[[#This Row],[Winning Candidate]:[Under Votes]])</f>
        <v>44</v>
      </c>
      <c r="Q303" s="100">
        <f>IF(AND(SamplingData[[#This Row],[Total]]&lt;&gt; 0, NOT(ISBLANK(SamplingData[[#This Row],[Losing Candidate]]))),(SamplingData[[#This Row],[Total]]+SamplingData[[#This Row],[Winning Candidate]]-SamplingData[[#This Row],[Losing Candidate]])/(SamplingData[[#Totals],[Winning Candidate]]-SamplingData[[#Totals],[Losing Candidate]]), 0)</f>
        <v>5.4358131597244171E-3</v>
      </c>
      <c r="R303" s="100">
        <f>IF(AND(SamplingData[[#This Row],[Total]]&lt;&gt; 0, NOT(ISBLANK(SamplingData[[#This Row],[Candidate 3]]))),(SamplingData[[#This Row],[Total]]+SamplingData[[#This Row],[Winning Candidate]]-SamplingData[[#This Row],[Candidate 3]])/(SamplingData[[#Totals],[Winning Candidate]]-SamplingData[[#Totals],[Candidate 3]]), 0)</f>
        <v>4.9108150824113796E-3</v>
      </c>
      <c r="S303" s="100">
        <f>IF(AND(SamplingData[[#This Row],[Total]]&lt;&gt; 0, NOT(ISBLANK(SamplingData[[#This Row],[Candidate 4]]))),(SamplingData[[#This Row],[Total]]+SamplingData[[#This Row],[Winning Candidate]]-SamplingData[[#This Row],[Candidate 4]])/(SamplingData[[#Totals],[Winning Candidate]]-SamplingData[[#Totals],[Candidate 4]]), 0)</f>
        <v>0</v>
      </c>
      <c r="T303" s="100">
        <f>IF(AND(SamplingData[[#This Row],[Total]]&lt;&gt; 0, NOT(ISBLANK(SamplingData[[#This Row],[Candidate 5]]))),(SamplingData[[#This Row],[Total]]+SamplingData[[#This Row],[Winning Candidate]]-SamplingData[[#This Row],[Candidate 5]])/(SamplingData[[#Totals],[Winning Candidate]]-SamplingData[[#Totals],[Candidate 5]]), 0)</f>
        <v>0</v>
      </c>
      <c r="U303" s="100">
        <f>IF(AND(SamplingData[[#This Row],[Total]]&lt;&gt; 0, NOT(ISBLANK(SamplingData[[#This Row],[Candidate 6]]))),(SamplingData[[#This Row],[Total]]+SamplingData[[#This Row],[Losing Candidate]]-SamplingData[[#This Row],[Candidate 6]])/(SamplingData[[#Totals],[Winning Candidate]]-SamplingData[[#Totals],[Candidate 6]]), 0)</f>
        <v>0</v>
      </c>
      <c r="V303" s="100">
        <f>IF(AND(SamplingData[[#This Row],[Total]]&lt;&gt; 0, NOT(ISBLANK(SamplingData[[#This Row],[Candidate 7]]))),(SamplingData[[#This Row],[Total]]+SamplingData[[#This Row],[Winning Candidate]]-SamplingData[[#This Row],[Candidate 7]])/(SamplingData[[#Totals],[Winning Candidate]]-SamplingData[[#Totals],[Candidate 7]]), 0)</f>
        <v>0</v>
      </c>
      <c r="W303" s="100">
        <f>IF(AND(SamplingData[[#This Row],[Total]]&lt;&gt; 0, NOT(ISBLANK(SamplingData[[#This Row],[Candidate 8]]))),(SamplingData[[#This Row],[Total]]+SamplingData[[#This Row],[Winning Candidate]]-SamplingData[[#This Row],[Candidate 8]])/(SamplingData[[#Totals],[Winning Candidate]]-SamplingData[[#Totals],[Candidate 8]]), 0)</f>
        <v>0</v>
      </c>
      <c r="X30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3" s="100">
        <f>MAX(SamplingData[[#This Row],[Error Bound (up) - Max. possible relative overstatement - Losing Candidate]:[Error Bound (up) - Max. possible relative overstatement - Candidate 12]])</f>
        <v>5.4358131597244171E-3</v>
      </c>
      <c r="AC303" s="100">
        <f>IF(SamplingData[[#This Row],[Max Error Bound (up)]] = 0,0,SamplingData[[#This Row],[Max Error Bound (up)]]/SamplingData[[#Totals],[Max Error Bound (up)]])</f>
        <v>2.2061549431581385E-3</v>
      </c>
      <c r="AD303" s="104">
        <f>SUM($AC$5:AC303)</f>
        <v>0.71803577712784528</v>
      </c>
      <c r="AE303" s="100" t="str" cm="1">
        <f t="array" ref="AE303">IF(SamplingData[[#This Row],[up/U Selection Probability]] = 0, "Zero", TEXT(SamplingData[[#This Row],[Lower Range]], REPT("0",LEN('General Info'!$B$42))) &amp; " - " &amp; TEXT(SamplingData[[#This Row],[Upper Range]], REPT("0",LEN('General Info'!$B$42))))</f>
        <v>71583 - 71803</v>
      </c>
      <c r="AF303" s="100">
        <f>SamplingData[[#This Row],[Upper Range]]-SamplingData[[#This Row],[Span]]</f>
        <v>71582.962218468703</v>
      </c>
      <c r="AG303" s="100">
        <f>IF(ISNUMBER('General Info'!$B$42), ((SamplingData[[#This Row],[up/U Selection Probability]]) * 'General Info'!$B$44) - 1, 0)</f>
        <v>219.61549431581386</v>
      </c>
      <c r="AH303" s="100">
        <f>IF(ISNUMBER('General Info'!$B$42), (SamplingData[[#This Row],[Running (cumulative) sum]] * ('General Info'!$B$42 -'General Info'!$B$43 + 1)) + 'General Info'!$B$43 - 1, 0)</f>
        <v>71802.577712784521</v>
      </c>
      <c r="AI303" s="100" t="str">
        <f>IF(ISERROR(MATCH(SamplingData[[#This Row],[Batch by Type (p)]],SelectedPrecincts[Batch Name], 0)), "", INDEX(SelectedPrecincts[Draw], MATCH(SamplingData[[#This Row],[Batch by Type (p)]],SelectedPrecincts[Batch Name], 0)))</f>
        <v/>
      </c>
      <c r="AJ303" s="101">
        <f>IF(COUNTIF(SelectedPrecincts[Batch Name],SamplingData[[#This Row],[Batch by Type (p)]]) &lt;&gt; 0, COUNTIF(SelectedPrecincts[Batch Name],SamplingData[[#This Row],[Batch by Type (p)]]), 0)</f>
        <v>0</v>
      </c>
    </row>
    <row r="304" spans="1:36" ht="15" customHeight="1" x14ac:dyDescent="0.35">
      <c r="A304" s="98" t="s">
        <v>515</v>
      </c>
      <c r="B304" s="98">
        <v>56</v>
      </c>
      <c r="C304" s="98">
        <v>2</v>
      </c>
      <c r="D304" s="93">
        <v>2</v>
      </c>
      <c r="E304" s="93"/>
      <c r="F304" s="93"/>
      <c r="G304" s="97"/>
      <c r="H304" s="97"/>
      <c r="I304" s="93"/>
      <c r="J304" s="93"/>
      <c r="K304" s="93"/>
      <c r="L304" s="93"/>
      <c r="M304" s="93"/>
      <c r="N304" s="98">
        <v>0</v>
      </c>
      <c r="O304" s="98">
        <v>1</v>
      </c>
      <c r="P304" s="99">
        <f>SUM(SamplingData[[#This Row],[Winning Candidate]:[Under Votes]])</f>
        <v>61</v>
      </c>
      <c r="Q304" s="100">
        <f>IF(AND(SamplingData[[#This Row],[Total]]&lt;&gt; 0, NOT(ISBLANK(SamplingData[[#This Row],[Losing Candidate]]))),(SamplingData[[#This Row],[Total]]+SamplingData[[#This Row],[Winning Candidate]]-SamplingData[[#This Row],[Losing Candidate]])/(SamplingData[[#Totals],[Winning Candidate]]-SamplingData[[#Totals],[Losing Candidate]]), 0)</f>
        <v>7.2688199228873015E-3</v>
      </c>
      <c r="R304" s="100">
        <f>IF(AND(SamplingData[[#This Row],[Total]]&lt;&gt; 0, NOT(ISBLANK(SamplingData[[#This Row],[Candidate 3]]))),(SamplingData[[#This Row],[Total]]+SamplingData[[#This Row],[Winning Candidate]]-SamplingData[[#This Row],[Candidate 3]])/(SamplingData[[#Totals],[Winning Candidate]]-SamplingData[[#Totals],[Candidate 3]]), 0)</f>
        <v>6.4913072928426277E-3</v>
      </c>
      <c r="S304" s="100">
        <f>IF(AND(SamplingData[[#This Row],[Total]]&lt;&gt; 0, NOT(ISBLANK(SamplingData[[#This Row],[Candidate 4]]))),(SamplingData[[#This Row],[Total]]+SamplingData[[#This Row],[Winning Candidate]]-SamplingData[[#This Row],[Candidate 4]])/(SamplingData[[#Totals],[Winning Candidate]]-SamplingData[[#Totals],[Candidate 4]]), 0)</f>
        <v>0</v>
      </c>
      <c r="T304" s="100">
        <f>IF(AND(SamplingData[[#This Row],[Total]]&lt;&gt; 0, NOT(ISBLANK(SamplingData[[#This Row],[Candidate 5]]))),(SamplingData[[#This Row],[Total]]+SamplingData[[#This Row],[Winning Candidate]]-SamplingData[[#This Row],[Candidate 5]])/(SamplingData[[#Totals],[Winning Candidate]]-SamplingData[[#Totals],[Candidate 5]]), 0)</f>
        <v>0</v>
      </c>
      <c r="U304" s="100">
        <f>IF(AND(SamplingData[[#This Row],[Total]]&lt;&gt; 0, NOT(ISBLANK(SamplingData[[#This Row],[Candidate 6]]))),(SamplingData[[#This Row],[Total]]+SamplingData[[#This Row],[Losing Candidate]]-SamplingData[[#This Row],[Candidate 6]])/(SamplingData[[#Totals],[Winning Candidate]]-SamplingData[[#Totals],[Candidate 6]]), 0)</f>
        <v>0</v>
      </c>
      <c r="V304" s="100">
        <f>IF(AND(SamplingData[[#This Row],[Total]]&lt;&gt; 0, NOT(ISBLANK(SamplingData[[#This Row],[Candidate 7]]))),(SamplingData[[#This Row],[Total]]+SamplingData[[#This Row],[Winning Candidate]]-SamplingData[[#This Row],[Candidate 7]])/(SamplingData[[#Totals],[Winning Candidate]]-SamplingData[[#Totals],[Candidate 7]]), 0)</f>
        <v>0</v>
      </c>
      <c r="W304" s="100">
        <f>IF(AND(SamplingData[[#This Row],[Total]]&lt;&gt; 0, NOT(ISBLANK(SamplingData[[#This Row],[Candidate 8]]))),(SamplingData[[#This Row],[Total]]+SamplingData[[#This Row],[Winning Candidate]]-SamplingData[[#This Row],[Candidate 8]])/(SamplingData[[#Totals],[Winning Candidate]]-SamplingData[[#Totals],[Candidate 8]]), 0)</f>
        <v>0</v>
      </c>
      <c r="X30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4" s="100">
        <f>MAX(SamplingData[[#This Row],[Error Bound (up) - Max. possible relative overstatement - Losing Candidate]:[Error Bound (up) - Max. possible relative overstatement - Candidate 12]])</f>
        <v>7.2688199228873015E-3</v>
      </c>
      <c r="AC304" s="100">
        <f>IF(SamplingData[[#This Row],[Max Error Bound (up)]] = 0,0,SamplingData[[#This Row],[Max Error Bound (up)]]/SamplingData[[#Totals],[Max Error Bound (up)]])</f>
        <v>2.9500909123626267E-3</v>
      </c>
      <c r="AD304" s="104">
        <f>SUM($AC$5:AC304)</f>
        <v>0.72098586804020792</v>
      </c>
      <c r="AE304" s="100" t="str" cm="1">
        <f t="array" ref="AE304">IF(SamplingData[[#This Row],[up/U Selection Probability]] = 0, "Zero", TEXT(SamplingData[[#This Row],[Lower Range]], REPT("0",LEN('General Info'!$B$42))) &amp; " - " &amp; TEXT(SamplingData[[#This Row],[Upper Range]], REPT("0",LEN('General Info'!$B$42))))</f>
        <v>71804 - 72098</v>
      </c>
      <c r="AF304" s="100">
        <f>SamplingData[[#This Row],[Upper Range]]-SamplingData[[#This Row],[Span]]</f>
        <v>71803.577712784521</v>
      </c>
      <c r="AG304" s="100">
        <f>IF(ISNUMBER('General Info'!$B$42), ((SamplingData[[#This Row],[up/U Selection Probability]]) * 'General Info'!$B$44) - 1, 0)</f>
        <v>294.00909123626269</v>
      </c>
      <c r="AH304" s="100">
        <f>IF(ISNUMBER('General Info'!$B$42), (SamplingData[[#This Row],[Running (cumulative) sum]] * ('General Info'!$B$42 -'General Info'!$B$43 + 1)) + 'General Info'!$B$43 - 1, 0)</f>
        <v>72097.586804020786</v>
      </c>
      <c r="AI304" s="100" t="str">
        <f>IF(ISERROR(MATCH(SamplingData[[#This Row],[Batch by Type (p)]],SelectedPrecincts[Batch Name], 0)), "", INDEX(SelectedPrecincts[Draw], MATCH(SamplingData[[#This Row],[Batch by Type (p)]],SelectedPrecincts[Batch Name], 0)))</f>
        <v/>
      </c>
      <c r="AJ304" s="101">
        <f>IF(COUNTIF(SelectedPrecincts[Batch Name],SamplingData[[#This Row],[Batch by Type (p)]]) &lt;&gt; 0, COUNTIF(SelectedPrecincts[Batch Name],SamplingData[[#This Row],[Batch by Type (p)]]), 0)</f>
        <v>0</v>
      </c>
    </row>
    <row r="305" spans="1:36" ht="15" customHeight="1" x14ac:dyDescent="0.35">
      <c r="A305" s="98" t="s">
        <v>516</v>
      </c>
      <c r="B305" s="98">
        <v>69</v>
      </c>
      <c r="C305" s="98">
        <v>2</v>
      </c>
      <c r="D305" s="93">
        <v>1</v>
      </c>
      <c r="E305" s="93"/>
      <c r="F305" s="93"/>
      <c r="G305" s="97"/>
      <c r="H305" s="97"/>
      <c r="I305" s="93"/>
      <c r="J305" s="93"/>
      <c r="K305" s="93"/>
      <c r="L305" s="93"/>
      <c r="M305" s="93"/>
      <c r="N305" s="98">
        <v>0</v>
      </c>
      <c r="O305" s="98">
        <v>0</v>
      </c>
      <c r="P305" s="99">
        <f>SUM(SamplingData[[#This Row],[Winning Candidate]:[Under Votes]])</f>
        <v>72</v>
      </c>
      <c r="Q305" s="100">
        <f>IF(AND(SamplingData[[#This Row],[Total]]&lt;&gt; 0, NOT(ISBLANK(SamplingData[[#This Row],[Losing Candidate]]))),(SamplingData[[#This Row],[Total]]+SamplingData[[#This Row],[Winning Candidate]]-SamplingData[[#This Row],[Losing Candidate]])/(SamplingData[[#Totals],[Winning Candidate]]-SamplingData[[#Totals],[Losing Candidate]]), 0)</f>
        <v>8.7857910372289988E-3</v>
      </c>
      <c r="R305" s="100">
        <f>IF(AND(SamplingData[[#This Row],[Total]]&lt;&gt; 0, NOT(ISBLANK(SamplingData[[#This Row],[Candidate 3]]))),(SamplingData[[#This Row],[Total]]+SamplingData[[#This Row],[Winning Candidate]]-SamplingData[[#This Row],[Candidate 3]])/(SamplingData[[#Totals],[Winning Candidate]]-SamplingData[[#Totals],[Candidate 3]]), 0)</f>
        <v>7.9024610521562424E-3</v>
      </c>
      <c r="S305" s="100">
        <f>IF(AND(SamplingData[[#This Row],[Total]]&lt;&gt; 0, NOT(ISBLANK(SamplingData[[#This Row],[Candidate 4]]))),(SamplingData[[#This Row],[Total]]+SamplingData[[#This Row],[Winning Candidate]]-SamplingData[[#This Row],[Candidate 4]])/(SamplingData[[#Totals],[Winning Candidate]]-SamplingData[[#Totals],[Candidate 4]]), 0)</f>
        <v>0</v>
      </c>
      <c r="T305" s="100">
        <f>IF(AND(SamplingData[[#This Row],[Total]]&lt;&gt; 0, NOT(ISBLANK(SamplingData[[#This Row],[Candidate 5]]))),(SamplingData[[#This Row],[Total]]+SamplingData[[#This Row],[Winning Candidate]]-SamplingData[[#This Row],[Candidate 5]])/(SamplingData[[#Totals],[Winning Candidate]]-SamplingData[[#Totals],[Candidate 5]]), 0)</f>
        <v>0</v>
      </c>
      <c r="U305" s="100">
        <f>IF(AND(SamplingData[[#This Row],[Total]]&lt;&gt; 0, NOT(ISBLANK(SamplingData[[#This Row],[Candidate 6]]))),(SamplingData[[#This Row],[Total]]+SamplingData[[#This Row],[Losing Candidate]]-SamplingData[[#This Row],[Candidate 6]])/(SamplingData[[#Totals],[Winning Candidate]]-SamplingData[[#Totals],[Candidate 6]]), 0)</f>
        <v>0</v>
      </c>
      <c r="V305" s="100">
        <f>IF(AND(SamplingData[[#This Row],[Total]]&lt;&gt; 0, NOT(ISBLANK(SamplingData[[#This Row],[Candidate 7]]))),(SamplingData[[#This Row],[Total]]+SamplingData[[#This Row],[Winning Candidate]]-SamplingData[[#This Row],[Candidate 7]])/(SamplingData[[#Totals],[Winning Candidate]]-SamplingData[[#Totals],[Candidate 7]]), 0)</f>
        <v>0</v>
      </c>
      <c r="W305" s="100">
        <f>IF(AND(SamplingData[[#This Row],[Total]]&lt;&gt; 0, NOT(ISBLANK(SamplingData[[#This Row],[Candidate 8]]))),(SamplingData[[#This Row],[Total]]+SamplingData[[#This Row],[Winning Candidate]]-SamplingData[[#This Row],[Candidate 8]])/(SamplingData[[#Totals],[Winning Candidate]]-SamplingData[[#Totals],[Candidate 8]]), 0)</f>
        <v>0</v>
      </c>
      <c r="X30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5" s="100">
        <f>MAX(SamplingData[[#This Row],[Error Bound (up) - Max. possible relative overstatement - Losing Candidate]:[Error Bound (up) - Max. possible relative overstatement - Candidate 12]])</f>
        <v>8.7857910372289988E-3</v>
      </c>
      <c r="AC305" s="100">
        <f>IF(SamplingData[[#This Row],[Max Error Bound (up)]] = 0,0,SamplingData[[#This Row],[Max Error Bound (up)]]/SamplingData[[#Totals],[Max Error Bound (up)]])</f>
        <v>3.5657620592904789E-3</v>
      </c>
      <c r="AD305" s="104">
        <f>SUM($AC$5:AC305)</f>
        <v>0.72455163009949841</v>
      </c>
      <c r="AE305" s="100" t="str" cm="1">
        <f t="array" ref="AE305">IF(SamplingData[[#This Row],[up/U Selection Probability]] = 0, "Zero", TEXT(SamplingData[[#This Row],[Lower Range]], REPT("0",LEN('General Info'!$B$42))) &amp; " - " &amp; TEXT(SamplingData[[#This Row],[Upper Range]], REPT("0",LEN('General Info'!$B$42))))</f>
        <v>72099 - 72454</v>
      </c>
      <c r="AF305" s="100">
        <f>SamplingData[[#This Row],[Upper Range]]-SamplingData[[#This Row],[Span]]</f>
        <v>72098.586804020801</v>
      </c>
      <c r="AG305" s="100">
        <f>IF(ISNUMBER('General Info'!$B$42), ((SamplingData[[#This Row],[up/U Selection Probability]]) * 'General Info'!$B$44) - 1, 0)</f>
        <v>355.57620592904789</v>
      </c>
      <c r="AH305" s="100">
        <f>IF(ISNUMBER('General Info'!$B$42), (SamplingData[[#This Row],[Running (cumulative) sum]] * ('General Info'!$B$42 -'General Info'!$B$43 + 1)) + 'General Info'!$B$43 - 1, 0)</f>
        <v>72454.163009949843</v>
      </c>
      <c r="AI305" s="100" t="str">
        <f>IF(ISERROR(MATCH(SamplingData[[#This Row],[Batch by Type (p)]],SelectedPrecincts[Batch Name], 0)), "", INDEX(SelectedPrecincts[Draw], MATCH(SamplingData[[#This Row],[Batch by Type (p)]],SelectedPrecincts[Batch Name], 0)))</f>
        <v/>
      </c>
      <c r="AJ305" s="101">
        <f>IF(COUNTIF(SelectedPrecincts[Batch Name],SamplingData[[#This Row],[Batch by Type (p)]]) &lt;&gt; 0, COUNTIF(SelectedPrecincts[Batch Name],SamplingData[[#This Row],[Batch by Type (p)]]), 0)</f>
        <v>0</v>
      </c>
    </row>
    <row r="306" spans="1:36" ht="15" customHeight="1" x14ac:dyDescent="0.35">
      <c r="A306" s="98" t="s">
        <v>517</v>
      </c>
      <c r="B306" s="98">
        <v>79</v>
      </c>
      <c r="C306" s="98">
        <v>8</v>
      </c>
      <c r="D306" s="93">
        <v>0</v>
      </c>
      <c r="E306" s="93"/>
      <c r="F306" s="93"/>
      <c r="G306" s="97"/>
      <c r="H306" s="97"/>
      <c r="I306" s="93"/>
      <c r="J306" s="93"/>
      <c r="K306" s="93"/>
      <c r="L306" s="93"/>
      <c r="M306" s="93"/>
      <c r="N306" s="98">
        <v>0</v>
      </c>
      <c r="O306" s="98">
        <v>0</v>
      </c>
      <c r="P306" s="99">
        <f>SUM(SamplingData[[#This Row],[Winning Candidate]:[Under Votes]])</f>
        <v>87</v>
      </c>
      <c r="Q306" s="100">
        <f>IF(AND(SamplingData[[#This Row],[Total]]&lt;&gt; 0, NOT(ISBLANK(SamplingData[[#This Row],[Losing Candidate]]))),(SamplingData[[#This Row],[Total]]+SamplingData[[#This Row],[Winning Candidate]]-SamplingData[[#This Row],[Losing Candidate]])/(SamplingData[[#Totals],[Winning Candidate]]-SamplingData[[#Totals],[Losing Candidate]]), 0)</f>
        <v>9.98672650274951E-3</v>
      </c>
      <c r="R306" s="100">
        <f>IF(AND(SamplingData[[#This Row],[Total]]&lt;&gt; 0, NOT(ISBLANK(SamplingData[[#This Row],[Candidate 3]]))),(SamplingData[[#This Row],[Total]]+SamplingData[[#This Row],[Winning Candidate]]-SamplingData[[#This Row],[Candidate 3]])/(SamplingData[[#Totals],[Winning Candidate]]-SamplingData[[#Totals],[Candidate 3]]), 0)</f>
        <v>9.3700609618424021E-3</v>
      </c>
      <c r="S306" s="100">
        <f>IF(AND(SamplingData[[#This Row],[Total]]&lt;&gt; 0, NOT(ISBLANK(SamplingData[[#This Row],[Candidate 4]]))),(SamplingData[[#This Row],[Total]]+SamplingData[[#This Row],[Winning Candidate]]-SamplingData[[#This Row],[Candidate 4]])/(SamplingData[[#Totals],[Winning Candidate]]-SamplingData[[#Totals],[Candidate 4]]), 0)</f>
        <v>0</v>
      </c>
      <c r="T306" s="100">
        <f>IF(AND(SamplingData[[#This Row],[Total]]&lt;&gt; 0, NOT(ISBLANK(SamplingData[[#This Row],[Candidate 5]]))),(SamplingData[[#This Row],[Total]]+SamplingData[[#This Row],[Winning Candidate]]-SamplingData[[#This Row],[Candidate 5]])/(SamplingData[[#Totals],[Winning Candidate]]-SamplingData[[#Totals],[Candidate 5]]), 0)</f>
        <v>0</v>
      </c>
      <c r="U306" s="100">
        <f>IF(AND(SamplingData[[#This Row],[Total]]&lt;&gt; 0, NOT(ISBLANK(SamplingData[[#This Row],[Candidate 6]]))),(SamplingData[[#This Row],[Total]]+SamplingData[[#This Row],[Losing Candidate]]-SamplingData[[#This Row],[Candidate 6]])/(SamplingData[[#Totals],[Winning Candidate]]-SamplingData[[#Totals],[Candidate 6]]), 0)</f>
        <v>0</v>
      </c>
      <c r="V306" s="100">
        <f>IF(AND(SamplingData[[#This Row],[Total]]&lt;&gt; 0, NOT(ISBLANK(SamplingData[[#This Row],[Candidate 7]]))),(SamplingData[[#This Row],[Total]]+SamplingData[[#This Row],[Winning Candidate]]-SamplingData[[#This Row],[Candidate 7]])/(SamplingData[[#Totals],[Winning Candidate]]-SamplingData[[#Totals],[Candidate 7]]), 0)</f>
        <v>0</v>
      </c>
      <c r="W306" s="100">
        <f>IF(AND(SamplingData[[#This Row],[Total]]&lt;&gt; 0, NOT(ISBLANK(SamplingData[[#This Row],[Candidate 8]]))),(SamplingData[[#This Row],[Total]]+SamplingData[[#This Row],[Winning Candidate]]-SamplingData[[#This Row],[Candidate 8]])/(SamplingData[[#Totals],[Winning Candidate]]-SamplingData[[#Totals],[Candidate 8]]), 0)</f>
        <v>0</v>
      </c>
      <c r="X30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6" s="100">
        <f>MAX(SamplingData[[#This Row],[Error Bound (up) - Max. possible relative overstatement - Losing Candidate]:[Error Bound (up) - Max. possible relative overstatement - Candidate 12]])</f>
        <v>9.98672650274951E-3</v>
      </c>
      <c r="AC306" s="100">
        <f>IF(SamplingData[[#This Row],[Max Error Bound (up)]] = 0,0,SamplingData[[#This Row],[Max Error Bound (up)]]/SamplingData[[#Totals],[Max Error Bound (up)]])</f>
        <v>4.0531683839416955E-3</v>
      </c>
      <c r="AD306" s="104">
        <f>SUM($AC$5:AC306)</f>
        <v>0.72860479848344006</v>
      </c>
      <c r="AE306" s="100" t="str" cm="1">
        <f t="array" ref="AE306">IF(SamplingData[[#This Row],[up/U Selection Probability]] = 0, "Zero", TEXT(SamplingData[[#This Row],[Lower Range]], REPT("0",LEN('General Info'!$B$42))) &amp; " - " &amp; TEXT(SamplingData[[#This Row],[Upper Range]], REPT("0",LEN('General Info'!$B$42))))</f>
        <v>72455 - 72859</v>
      </c>
      <c r="AF306" s="100">
        <f>SamplingData[[#This Row],[Upper Range]]-SamplingData[[#This Row],[Span]]</f>
        <v>72455.163009949843</v>
      </c>
      <c r="AG306" s="100">
        <f>IF(ISNUMBER('General Info'!$B$42), ((SamplingData[[#This Row],[up/U Selection Probability]]) * 'General Info'!$B$44) - 1, 0)</f>
        <v>404.31683839416957</v>
      </c>
      <c r="AH306" s="100">
        <f>IF(ISNUMBER('General Info'!$B$42), (SamplingData[[#This Row],[Running (cumulative) sum]] * ('General Info'!$B$42 -'General Info'!$B$43 + 1)) + 'General Info'!$B$43 - 1, 0)</f>
        <v>72859.47984834401</v>
      </c>
      <c r="AI306" s="100" t="str">
        <f>IF(ISERROR(MATCH(SamplingData[[#This Row],[Batch by Type (p)]],SelectedPrecincts[Batch Name], 0)), "", INDEX(SelectedPrecincts[Draw], MATCH(SamplingData[[#This Row],[Batch by Type (p)]],SelectedPrecincts[Batch Name], 0)))</f>
        <v/>
      </c>
      <c r="AJ306" s="101">
        <f>IF(COUNTIF(SelectedPrecincts[Batch Name],SamplingData[[#This Row],[Batch by Type (p)]]) &lt;&gt; 0, COUNTIF(SelectedPrecincts[Batch Name],SamplingData[[#This Row],[Batch by Type (p)]]), 0)</f>
        <v>0</v>
      </c>
    </row>
    <row r="307" spans="1:36" ht="15" customHeight="1" x14ac:dyDescent="0.35">
      <c r="A307" s="98" t="s">
        <v>518</v>
      </c>
      <c r="B307" s="98">
        <v>81</v>
      </c>
      <c r="C307" s="98">
        <v>7</v>
      </c>
      <c r="D307" s="93">
        <v>0</v>
      </c>
      <c r="E307" s="93"/>
      <c r="F307" s="93"/>
      <c r="G307" s="97"/>
      <c r="H307" s="97"/>
      <c r="I307" s="93"/>
      <c r="J307" s="93"/>
      <c r="K307" s="93"/>
      <c r="L307" s="93"/>
      <c r="M307" s="93"/>
      <c r="N307" s="98">
        <v>0</v>
      </c>
      <c r="O307" s="98">
        <v>0</v>
      </c>
      <c r="P307" s="99">
        <f>SUM(SamplingData[[#This Row],[Winning Candidate]:[Under Votes]])</f>
        <v>88</v>
      </c>
      <c r="Q307" s="100">
        <f>IF(AND(SamplingData[[#This Row],[Total]]&lt;&gt; 0, NOT(ISBLANK(SamplingData[[#This Row],[Losing Candidate]]))),(SamplingData[[#This Row],[Total]]+SamplingData[[#This Row],[Winning Candidate]]-SamplingData[[#This Row],[Losing Candidate]])/(SamplingData[[#Totals],[Winning Candidate]]-SamplingData[[#Totals],[Losing Candidate]]), 0)</f>
        <v>1.023955502180646E-2</v>
      </c>
      <c r="R307" s="100">
        <f>IF(AND(SamplingData[[#This Row],[Total]]&lt;&gt; 0, NOT(ISBLANK(SamplingData[[#This Row],[Candidate 3]]))),(SamplingData[[#This Row],[Total]]+SamplingData[[#This Row],[Winning Candidate]]-SamplingData[[#This Row],[Candidate 3]])/(SamplingData[[#Totals],[Winning Candidate]]-SamplingData[[#Totals],[Candidate 3]]), 0)</f>
        <v>9.5393994129600364E-3</v>
      </c>
      <c r="S307" s="100">
        <f>IF(AND(SamplingData[[#This Row],[Total]]&lt;&gt; 0, NOT(ISBLANK(SamplingData[[#This Row],[Candidate 4]]))),(SamplingData[[#This Row],[Total]]+SamplingData[[#This Row],[Winning Candidate]]-SamplingData[[#This Row],[Candidate 4]])/(SamplingData[[#Totals],[Winning Candidate]]-SamplingData[[#Totals],[Candidate 4]]), 0)</f>
        <v>0</v>
      </c>
      <c r="T307" s="100">
        <f>IF(AND(SamplingData[[#This Row],[Total]]&lt;&gt; 0, NOT(ISBLANK(SamplingData[[#This Row],[Candidate 5]]))),(SamplingData[[#This Row],[Total]]+SamplingData[[#This Row],[Winning Candidate]]-SamplingData[[#This Row],[Candidate 5]])/(SamplingData[[#Totals],[Winning Candidate]]-SamplingData[[#Totals],[Candidate 5]]), 0)</f>
        <v>0</v>
      </c>
      <c r="U307" s="100">
        <f>IF(AND(SamplingData[[#This Row],[Total]]&lt;&gt; 0, NOT(ISBLANK(SamplingData[[#This Row],[Candidate 6]]))),(SamplingData[[#This Row],[Total]]+SamplingData[[#This Row],[Losing Candidate]]-SamplingData[[#This Row],[Candidate 6]])/(SamplingData[[#Totals],[Winning Candidate]]-SamplingData[[#Totals],[Candidate 6]]), 0)</f>
        <v>0</v>
      </c>
      <c r="V307" s="100">
        <f>IF(AND(SamplingData[[#This Row],[Total]]&lt;&gt; 0, NOT(ISBLANK(SamplingData[[#This Row],[Candidate 7]]))),(SamplingData[[#This Row],[Total]]+SamplingData[[#This Row],[Winning Candidate]]-SamplingData[[#This Row],[Candidate 7]])/(SamplingData[[#Totals],[Winning Candidate]]-SamplingData[[#Totals],[Candidate 7]]), 0)</f>
        <v>0</v>
      </c>
      <c r="W307" s="100">
        <f>IF(AND(SamplingData[[#This Row],[Total]]&lt;&gt; 0, NOT(ISBLANK(SamplingData[[#This Row],[Candidate 8]]))),(SamplingData[[#This Row],[Total]]+SamplingData[[#This Row],[Winning Candidate]]-SamplingData[[#This Row],[Candidate 8]])/(SamplingData[[#Totals],[Winning Candidate]]-SamplingData[[#Totals],[Candidate 8]]), 0)</f>
        <v>0</v>
      </c>
      <c r="X30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7" s="100">
        <f>MAX(SamplingData[[#This Row],[Error Bound (up) - Max. possible relative overstatement - Losing Candidate]:[Error Bound (up) - Max. possible relative overstatement - Candidate 12]])</f>
        <v>1.023955502180646E-2</v>
      </c>
      <c r="AC307" s="100">
        <f>IF(SamplingData[[#This Row],[Max Error Bound (up)]] = 0,0,SamplingData[[#This Row],[Max Error Bound (up)]]/SamplingData[[#Totals],[Max Error Bound (up)]])</f>
        <v>4.155780241763005E-3</v>
      </c>
      <c r="AD307" s="104">
        <f>SUM($AC$5:AC307)</f>
        <v>0.73276057872520306</v>
      </c>
      <c r="AE307" s="100" t="str" cm="1">
        <f t="array" ref="AE307">IF(SamplingData[[#This Row],[up/U Selection Probability]] = 0, "Zero", TEXT(SamplingData[[#This Row],[Lower Range]], REPT("0",LEN('General Info'!$B$42))) &amp; " - " &amp; TEXT(SamplingData[[#This Row],[Upper Range]], REPT("0",LEN('General Info'!$B$42))))</f>
        <v>72860 - 73275</v>
      </c>
      <c r="AF307" s="100">
        <f>SamplingData[[#This Row],[Upper Range]]-SamplingData[[#This Row],[Span]]</f>
        <v>72860.47984834401</v>
      </c>
      <c r="AG307" s="100">
        <f>IF(ISNUMBER('General Info'!$B$42), ((SamplingData[[#This Row],[up/U Selection Probability]]) * 'General Info'!$B$44) - 1, 0)</f>
        <v>414.57802417630052</v>
      </c>
      <c r="AH307" s="100">
        <f>IF(ISNUMBER('General Info'!$B$42), (SamplingData[[#This Row],[Running (cumulative) sum]] * ('General Info'!$B$42 -'General Info'!$B$43 + 1)) + 'General Info'!$B$43 - 1, 0)</f>
        <v>73275.057872520309</v>
      </c>
      <c r="AI307" s="100" t="str">
        <f>IF(ISERROR(MATCH(SamplingData[[#This Row],[Batch by Type (p)]],SelectedPrecincts[Batch Name], 0)), "", INDEX(SelectedPrecincts[Draw], MATCH(SamplingData[[#This Row],[Batch by Type (p)]],SelectedPrecincts[Batch Name], 0)))</f>
        <v/>
      </c>
      <c r="AJ307" s="101">
        <f>IF(COUNTIF(SelectedPrecincts[Batch Name],SamplingData[[#This Row],[Batch by Type (p)]]) &lt;&gt; 0, COUNTIF(SelectedPrecincts[Batch Name],SamplingData[[#This Row],[Batch by Type (p)]]), 0)</f>
        <v>0</v>
      </c>
    </row>
    <row r="308" spans="1:36" ht="15" customHeight="1" x14ac:dyDescent="0.35">
      <c r="A308" s="98" t="s">
        <v>519</v>
      </c>
      <c r="B308" s="98">
        <v>70</v>
      </c>
      <c r="C308" s="98">
        <v>9</v>
      </c>
      <c r="D308" s="93">
        <v>1</v>
      </c>
      <c r="E308" s="93"/>
      <c r="F308" s="93"/>
      <c r="G308" s="97"/>
      <c r="H308" s="97"/>
      <c r="I308" s="93"/>
      <c r="J308" s="93"/>
      <c r="K308" s="93"/>
      <c r="L308" s="93"/>
      <c r="M308" s="93"/>
      <c r="N308" s="98">
        <v>0</v>
      </c>
      <c r="O308" s="98">
        <v>2</v>
      </c>
      <c r="P308" s="99">
        <f>SUM(SamplingData[[#This Row],[Winning Candidate]:[Under Votes]])</f>
        <v>82</v>
      </c>
      <c r="Q308" s="100">
        <f>IF(AND(SamplingData[[#This Row],[Total]]&lt;&gt; 0, NOT(ISBLANK(SamplingData[[#This Row],[Losing Candidate]]))),(SamplingData[[#This Row],[Total]]+SamplingData[[#This Row],[Winning Candidate]]-SamplingData[[#This Row],[Losing Candidate]])/(SamplingData[[#Totals],[Winning Candidate]]-SamplingData[[#Totals],[Losing Candidate]]), 0)</f>
        <v>9.0386195562859491E-3</v>
      </c>
      <c r="R308" s="100">
        <f>IF(AND(SamplingData[[#This Row],[Total]]&lt;&gt; 0, NOT(ISBLANK(SamplingData[[#This Row],[Candidate 3]]))),(SamplingData[[#This Row],[Total]]+SamplingData[[#This Row],[Winning Candidate]]-SamplingData[[#This Row],[Candidate 3]])/(SamplingData[[#Totals],[Winning Candidate]]-SamplingData[[#Totals],[Candidate 3]]), 0)</f>
        <v>8.5233687062542338E-3</v>
      </c>
      <c r="S308" s="100">
        <f>IF(AND(SamplingData[[#This Row],[Total]]&lt;&gt; 0, NOT(ISBLANK(SamplingData[[#This Row],[Candidate 4]]))),(SamplingData[[#This Row],[Total]]+SamplingData[[#This Row],[Winning Candidate]]-SamplingData[[#This Row],[Candidate 4]])/(SamplingData[[#Totals],[Winning Candidate]]-SamplingData[[#Totals],[Candidate 4]]), 0)</f>
        <v>0</v>
      </c>
      <c r="T308" s="100">
        <f>IF(AND(SamplingData[[#This Row],[Total]]&lt;&gt; 0, NOT(ISBLANK(SamplingData[[#This Row],[Candidate 5]]))),(SamplingData[[#This Row],[Total]]+SamplingData[[#This Row],[Winning Candidate]]-SamplingData[[#This Row],[Candidate 5]])/(SamplingData[[#Totals],[Winning Candidate]]-SamplingData[[#Totals],[Candidate 5]]), 0)</f>
        <v>0</v>
      </c>
      <c r="U308" s="100">
        <f>IF(AND(SamplingData[[#This Row],[Total]]&lt;&gt; 0, NOT(ISBLANK(SamplingData[[#This Row],[Candidate 6]]))),(SamplingData[[#This Row],[Total]]+SamplingData[[#This Row],[Losing Candidate]]-SamplingData[[#This Row],[Candidate 6]])/(SamplingData[[#Totals],[Winning Candidate]]-SamplingData[[#Totals],[Candidate 6]]), 0)</f>
        <v>0</v>
      </c>
      <c r="V308" s="100">
        <f>IF(AND(SamplingData[[#This Row],[Total]]&lt;&gt; 0, NOT(ISBLANK(SamplingData[[#This Row],[Candidate 7]]))),(SamplingData[[#This Row],[Total]]+SamplingData[[#This Row],[Winning Candidate]]-SamplingData[[#This Row],[Candidate 7]])/(SamplingData[[#Totals],[Winning Candidate]]-SamplingData[[#Totals],[Candidate 7]]), 0)</f>
        <v>0</v>
      </c>
      <c r="W308" s="100">
        <f>IF(AND(SamplingData[[#This Row],[Total]]&lt;&gt; 0, NOT(ISBLANK(SamplingData[[#This Row],[Candidate 8]]))),(SamplingData[[#This Row],[Total]]+SamplingData[[#This Row],[Winning Candidate]]-SamplingData[[#This Row],[Candidate 8]])/(SamplingData[[#Totals],[Winning Candidate]]-SamplingData[[#Totals],[Candidate 8]]), 0)</f>
        <v>0</v>
      </c>
      <c r="X30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8" s="100">
        <f>MAX(SamplingData[[#This Row],[Error Bound (up) - Max. possible relative overstatement - Losing Candidate]:[Error Bound (up) - Max. possible relative overstatement - Candidate 12]])</f>
        <v>9.0386195562859491E-3</v>
      </c>
      <c r="AC308" s="100">
        <f>IF(SamplingData[[#This Row],[Max Error Bound (up)]] = 0,0,SamplingData[[#This Row],[Max Error Bound (up)]]/SamplingData[[#Totals],[Max Error Bound (up)]])</f>
        <v>3.6683739171117879E-3</v>
      </c>
      <c r="AD308" s="104">
        <f>SUM($AC$5:AC308)</f>
        <v>0.73642895264231489</v>
      </c>
      <c r="AE308" s="100" t="str" cm="1">
        <f t="array" ref="AE308">IF(SamplingData[[#This Row],[up/U Selection Probability]] = 0, "Zero", TEXT(SamplingData[[#This Row],[Lower Range]], REPT("0",LEN('General Info'!$B$42))) &amp; " - " &amp; TEXT(SamplingData[[#This Row],[Upper Range]], REPT("0",LEN('General Info'!$B$42))))</f>
        <v>73276 - 73642</v>
      </c>
      <c r="AF308" s="100">
        <f>SamplingData[[#This Row],[Upper Range]]-SamplingData[[#This Row],[Span]]</f>
        <v>73276.057872520309</v>
      </c>
      <c r="AG308" s="100">
        <f>IF(ISNUMBER('General Info'!$B$42), ((SamplingData[[#This Row],[up/U Selection Probability]]) * 'General Info'!$B$44) - 1, 0)</f>
        <v>365.83739171117878</v>
      </c>
      <c r="AH308" s="100">
        <f>IF(ISNUMBER('General Info'!$B$42), (SamplingData[[#This Row],[Running (cumulative) sum]] * ('General Info'!$B$42 -'General Info'!$B$43 + 1)) + 'General Info'!$B$43 - 1, 0)</f>
        <v>73641.895264231483</v>
      </c>
      <c r="AI308" s="100" t="str">
        <f>IF(ISERROR(MATCH(SamplingData[[#This Row],[Batch by Type (p)]],SelectedPrecincts[Batch Name], 0)), "", INDEX(SelectedPrecincts[Draw], MATCH(SamplingData[[#This Row],[Batch by Type (p)]],SelectedPrecincts[Batch Name], 0)))</f>
        <v/>
      </c>
      <c r="AJ308" s="101">
        <f>IF(COUNTIF(SelectedPrecincts[Batch Name],SamplingData[[#This Row],[Batch by Type (p)]]) &lt;&gt; 0, COUNTIF(SelectedPrecincts[Batch Name],SamplingData[[#This Row],[Batch by Type (p)]]), 0)</f>
        <v>0</v>
      </c>
    </row>
    <row r="309" spans="1:36" ht="15" customHeight="1" x14ac:dyDescent="0.35">
      <c r="A309" s="98" t="s">
        <v>520</v>
      </c>
      <c r="B309" s="98">
        <v>23</v>
      </c>
      <c r="C309" s="98">
        <v>3</v>
      </c>
      <c r="D309" s="93">
        <v>4</v>
      </c>
      <c r="E309" s="93"/>
      <c r="F309" s="93"/>
      <c r="G309" s="97"/>
      <c r="H309" s="97"/>
      <c r="I309" s="93"/>
      <c r="J309" s="93"/>
      <c r="K309" s="93"/>
      <c r="L309" s="93"/>
      <c r="M309" s="93"/>
      <c r="N309" s="98">
        <v>0</v>
      </c>
      <c r="O309" s="98">
        <v>0</v>
      </c>
      <c r="P309" s="99">
        <f>SUM(SamplingData[[#This Row],[Winning Candidate]:[Under Votes]])</f>
        <v>30</v>
      </c>
      <c r="Q309" s="100">
        <f>IF(AND(SamplingData[[#This Row],[Total]]&lt;&gt; 0, NOT(ISBLANK(SamplingData[[#This Row],[Losing Candidate]]))),(SamplingData[[#This Row],[Total]]+SamplingData[[#This Row],[Winning Candidate]]-SamplingData[[#This Row],[Losing Candidate]])/(SamplingData[[#Totals],[Winning Candidate]]-SamplingData[[#Totals],[Losing Candidate]]), 0)</f>
        <v>3.1603564882118703E-3</v>
      </c>
      <c r="R309" s="100">
        <f>IF(AND(SamplingData[[#This Row],[Total]]&lt;&gt; 0, NOT(ISBLANK(SamplingData[[#This Row],[Candidate 3]]))),(SamplingData[[#This Row],[Total]]+SamplingData[[#This Row],[Winning Candidate]]-SamplingData[[#This Row],[Candidate 3]])/(SamplingData[[#Totals],[Winning Candidate]]-SamplingData[[#Totals],[Candidate 3]]), 0)</f>
        <v>2.7658613682546851E-3</v>
      </c>
      <c r="S309" s="100">
        <f>IF(AND(SamplingData[[#This Row],[Total]]&lt;&gt; 0, NOT(ISBLANK(SamplingData[[#This Row],[Candidate 4]]))),(SamplingData[[#This Row],[Total]]+SamplingData[[#This Row],[Winning Candidate]]-SamplingData[[#This Row],[Candidate 4]])/(SamplingData[[#Totals],[Winning Candidate]]-SamplingData[[#Totals],[Candidate 4]]), 0)</f>
        <v>0</v>
      </c>
      <c r="T309" s="100">
        <f>IF(AND(SamplingData[[#This Row],[Total]]&lt;&gt; 0, NOT(ISBLANK(SamplingData[[#This Row],[Candidate 5]]))),(SamplingData[[#This Row],[Total]]+SamplingData[[#This Row],[Winning Candidate]]-SamplingData[[#This Row],[Candidate 5]])/(SamplingData[[#Totals],[Winning Candidate]]-SamplingData[[#Totals],[Candidate 5]]), 0)</f>
        <v>0</v>
      </c>
      <c r="U309" s="100">
        <f>IF(AND(SamplingData[[#This Row],[Total]]&lt;&gt; 0, NOT(ISBLANK(SamplingData[[#This Row],[Candidate 6]]))),(SamplingData[[#This Row],[Total]]+SamplingData[[#This Row],[Losing Candidate]]-SamplingData[[#This Row],[Candidate 6]])/(SamplingData[[#Totals],[Winning Candidate]]-SamplingData[[#Totals],[Candidate 6]]), 0)</f>
        <v>0</v>
      </c>
      <c r="V309" s="100">
        <f>IF(AND(SamplingData[[#This Row],[Total]]&lt;&gt; 0, NOT(ISBLANK(SamplingData[[#This Row],[Candidate 7]]))),(SamplingData[[#This Row],[Total]]+SamplingData[[#This Row],[Winning Candidate]]-SamplingData[[#This Row],[Candidate 7]])/(SamplingData[[#Totals],[Winning Candidate]]-SamplingData[[#Totals],[Candidate 7]]), 0)</f>
        <v>0</v>
      </c>
      <c r="W309" s="100">
        <f>IF(AND(SamplingData[[#This Row],[Total]]&lt;&gt; 0, NOT(ISBLANK(SamplingData[[#This Row],[Candidate 8]]))),(SamplingData[[#This Row],[Total]]+SamplingData[[#This Row],[Winning Candidate]]-SamplingData[[#This Row],[Candidate 8]])/(SamplingData[[#Totals],[Winning Candidate]]-SamplingData[[#Totals],[Candidate 8]]), 0)</f>
        <v>0</v>
      </c>
      <c r="X30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9" s="100">
        <f>MAX(SamplingData[[#This Row],[Error Bound (up) - Max. possible relative overstatement - Losing Candidate]:[Error Bound (up) - Max. possible relative overstatement - Candidate 12]])</f>
        <v>3.1603564882118703E-3</v>
      </c>
      <c r="AC309" s="100">
        <f>IF(SamplingData[[#This Row],[Max Error Bound (up)]] = 0,0,SamplingData[[#This Row],[Max Error Bound (up)]]/SamplingData[[#Totals],[Max Error Bound (up)]])</f>
        <v>1.2826482227663593E-3</v>
      </c>
      <c r="AD309" s="104">
        <f>SUM($AC$5:AC309)</f>
        <v>0.73771160086508125</v>
      </c>
      <c r="AE309" s="100" t="str" cm="1">
        <f t="array" ref="AE309">IF(SamplingData[[#This Row],[up/U Selection Probability]] = 0, "Zero", TEXT(SamplingData[[#This Row],[Lower Range]], REPT("0",LEN('General Info'!$B$42))) &amp; " - " &amp; TEXT(SamplingData[[#This Row],[Upper Range]], REPT("0",LEN('General Info'!$B$42))))</f>
        <v>73643 - 73770</v>
      </c>
      <c r="AF309" s="100">
        <f>SamplingData[[#This Row],[Upper Range]]-SamplingData[[#This Row],[Span]]</f>
        <v>73642.895264231498</v>
      </c>
      <c r="AG309" s="100">
        <f>IF(ISNUMBER('General Info'!$B$42), ((SamplingData[[#This Row],[up/U Selection Probability]]) * 'General Info'!$B$44) - 1, 0)</f>
        <v>127.26482227663593</v>
      </c>
      <c r="AH309" s="100">
        <f>IF(ISNUMBER('General Info'!$B$42), (SamplingData[[#This Row],[Running (cumulative) sum]] * ('General Info'!$B$42 -'General Info'!$B$43 + 1)) + 'General Info'!$B$43 - 1, 0)</f>
        <v>73770.160086508127</v>
      </c>
      <c r="AI309" s="100" t="str">
        <f>IF(ISERROR(MATCH(SamplingData[[#This Row],[Batch by Type (p)]],SelectedPrecincts[Batch Name], 0)), "", INDEX(SelectedPrecincts[Draw], MATCH(SamplingData[[#This Row],[Batch by Type (p)]],SelectedPrecincts[Batch Name], 0)))</f>
        <v/>
      </c>
      <c r="AJ309" s="101">
        <f>IF(COUNTIF(SelectedPrecincts[Batch Name],SamplingData[[#This Row],[Batch by Type (p)]]) &lt;&gt; 0, COUNTIF(SelectedPrecincts[Batch Name],SamplingData[[#This Row],[Batch by Type (p)]]), 0)</f>
        <v>0</v>
      </c>
    </row>
    <row r="310" spans="1:36" ht="15" customHeight="1" x14ac:dyDescent="0.35">
      <c r="A310" s="98" t="s">
        <v>521</v>
      </c>
      <c r="B310" s="98">
        <v>60</v>
      </c>
      <c r="C310" s="98">
        <v>29</v>
      </c>
      <c r="D310" s="93">
        <v>6</v>
      </c>
      <c r="E310" s="93"/>
      <c r="F310" s="93"/>
      <c r="G310" s="97"/>
      <c r="H310" s="97"/>
      <c r="I310" s="93"/>
      <c r="J310" s="93"/>
      <c r="K310" s="93"/>
      <c r="L310" s="93"/>
      <c r="M310" s="93"/>
      <c r="N310" s="98">
        <v>0</v>
      </c>
      <c r="O310" s="98">
        <v>0</v>
      </c>
      <c r="P310" s="99">
        <f>SUM(SamplingData[[#This Row],[Winning Candidate]:[Under Votes]])</f>
        <v>95</v>
      </c>
      <c r="Q310" s="100">
        <f>IF(AND(SamplingData[[#This Row],[Total]]&lt;&gt; 0, NOT(ISBLANK(SamplingData[[#This Row],[Losing Candidate]]))),(SamplingData[[#This Row],[Total]]+SamplingData[[#This Row],[Winning Candidate]]-SamplingData[[#This Row],[Losing Candidate]])/(SamplingData[[#Totals],[Winning Candidate]]-SamplingData[[#Totals],[Losing Candidate]]), 0)</f>
        <v>7.964098350293913E-3</v>
      </c>
      <c r="R310" s="100">
        <f>IF(AND(SamplingData[[#This Row],[Total]]&lt;&gt; 0, NOT(ISBLANK(SamplingData[[#This Row],[Candidate 3]]))),(SamplingData[[#This Row],[Total]]+SamplingData[[#This Row],[Winning Candidate]]-SamplingData[[#This Row],[Candidate 3]])/(SamplingData[[#Totals],[Winning Candidate]]-SamplingData[[#Totals],[Candidate 3]]), 0)</f>
        <v>8.4104764055091437E-3</v>
      </c>
      <c r="S310" s="100">
        <f>IF(AND(SamplingData[[#This Row],[Total]]&lt;&gt; 0, NOT(ISBLANK(SamplingData[[#This Row],[Candidate 4]]))),(SamplingData[[#This Row],[Total]]+SamplingData[[#This Row],[Winning Candidate]]-SamplingData[[#This Row],[Candidate 4]])/(SamplingData[[#Totals],[Winning Candidate]]-SamplingData[[#Totals],[Candidate 4]]), 0)</f>
        <v>0</v>
      </c>
      <c r="T310" s="100">
        <f>IF(AND(SamplingData[[#This Row],[Total]]&lt;&gt; 0, NOT(ISBLANK(SamplingData[[#This Row],[Candidate 5]]))),(SamplingData[[#This Row],[Total]]+SamplingData[[#This Row],[Winning Candidate]]-SamplingData[[#This Row],[Candidate 5]])/(SamplingData[[#Totals],[Winning Candidate]]-SamplingData[[#Totals],[Candidate 5]]), 0)</f>
        <v>0</v>
      </c>
      <c r="U310" s="100">
        <f>IF(AND(SamplingData[[#This Row],[Total]]&lt;&gt; 0, NOT(ISBLANK(SamplingData[[#This Row],[Candidate 6]]))),(SamplingData[[#This Row],[Total]]+SamplingData[[#This Row],[Losing Candidate]]-SamplingData[[#This Row],[Candidate 6]])/(SamplingData[[#Totals],[Winning Candidate]]-SamplingData[[#Totals],[Candidate 6]]), 0)</f>
        <v>0</v>
      </c>
      <c r="V310" s="100">
        <f>IF(AND(SamplingData[[#This Row],[Total]]&lt;&gt; 0, NOT(ISBLANK(SamplingData[[#This Row],[Candidate 7]]))),(SamplingData[[#This Row],[Total]]+SamplingData[[#This Row],[Winning Candidate]]-SamplingData[[#This Row],[Candidate 7]])/(SamplingData[[#Totals],[Winning Candidate]]-SamplingData[[#Totals],[Candidate 7]]), 0)</f>
        <v>0</v>
      </c>
      <c r="W310" s="100">
        <f>IF(AND(SamplingData[[#This Row],[Total]]&lt;&gt; 0, NOT(ISBLANK(SamplingData[[#This Row],[Candidate 8]]))),(SamplingData[[#This Row],[Total]]+SamplingData[[#This Row],[Winning Candidate]]-SamplingData[[#This Row],[Candidate 8]])/(SamplingData[[#Totals],[Winning Candidate]]-SamplingData[[#Totals],[Candidate 8]]), 0)</f>
        <v>0</v>
      </c>
      <c r="X31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0" s="100">
        <f>MAX(SamplingData[[#This Row],[Error Bound (up) - Max. possible relative overstatement - Losing Candidate]:[Error Bound (up) - Max. possible relative overstatement - Candidate 12]])</f>
        <v>8.4104764055091437E-3</v>
      </c>
      <c r="AC310" s="100">
        <f>IF(SamplingData[[#This Row],[Max Error Bound (up)]] = 0,0,SamplingData[[#This Row],[Max Error Bound (up)]]/SamplingData[[#Totals],[Max Error Bound (up)]])</f>
        <v>3.4134385327676668E-3</v>
      </c>
      <c r="AD310" s="104">
        <f>SUM($AC$5:AC310)</f>
        <v>0.74112503939784891</v>
      </c>
      <c r="AE310" s="100" t="str" cm="1">
        <f t="array" ref="AE310">IF(SamplingData[[#This Row],[up/U Selection Probability]] = 0, "Zero", TEXT(SamplingData[[#This Row],[Lower Range]], REPT("0",LEN('General Info'!$B$42))) &amp; " - " &amp; TEXT(SamplingData[[#This Row],[Upper Range]], REPT("0",LEN('General Info'!$B$42))))</f>
        <v>73771 - 74112</v>
      </c>
      <c r="AF310" s="100">
        <f>SamplingData[[#This Row],[Upper Range]]-SamplingData[[#This Row],[Span]]</f>
        <v>73771.160086508127</v>
      </c>
      <c r="AG310" s="100">
        <f>IF(ISNUMBER('General Info'!$B$42), ((SamplingData[[#This Row],[up/U Selection Probability]]) * 'General Info'!$B$44) - 1, 0)</f>
        <v>340.34385327676665</v>
      </c>
      <c r="AH310" s="100">
        <f>IF(ISNUMBER('General Info'!$B$42), (SamplingData[[#This Row],[Running (cumulative) sum]] * ('General Info'!$B$42 -'General Info'!$B$43 + 1)) + 'General Info'!$B$43 - 1, 0)</f>
        <v>74111.503939784889</v>
      </c>
      <c r="AI310" s="100" t="str">
        <f>IF(ISERROR(MATCH(SamplingData[[#This Row],[Batch by Type (p)]],SelectedPrecincts[Batch Name], 0)), "", INDEX(SelectedPrecincts[Draw], MATCH(SamplingData[[#This Row],[Batch by Type (p)]],SelectedPrecincts[Batch Name], 0)))</f>
        <v/>
      </c>
      <c r="AJ310" s="101">
        <f>IF(COUNTIF(SelectedPrecincts[Batch Name],SamplingData[[#This Row],[Batch by Type (p)]]) &lt;&gt; 0, COUNTIF(SelectedPrecincts[Batch Name],SamplingData[[#This Row],[Batch by Type (p)]]), 0)</f>
        <v>0</v>
      </c>
    </row>
    <row r="311" spans="1:36" ht="15" customHeight="1" x14ac:dyDescent="0.35">
      <c r="A311" s="98" t="s">
        <v>522</v>
      </c>
      <c r="B311" s="98">
        <v>70</v>
      </c>
      <c r="C311" s="98">
        <v>80</v>
      </c>
      <c r="D311" s="93">
        <v>8</v>
      </c>
      <c r="E311" s="93"/>
      <c r="F311" s="93"/>
      <c r="G311" s="97"/>
      <c r="H311" s="97"/>
      <c r="I311" s="93"/>
      <c r="J311" s="93"/>
      <c r="K311" s="93"/>
      <c r="L311" s="93"/>
      <c r="M311" s="93"/>
      <c r="N311" s="98">
        <v>0</v>
      </c>
      <c r="O311" s="98">
        <v>2</v>
      </c>
      <c r="P311" s="99">
        <f>SUM(SamplingData[[#This Row],[Winning Candidate]:[Under Votes]])</f>
        <v>160</v>
      </c>
      <c r="Q311" s="100">
        <f>IF(AND(SamplingData[[#This Row],[Total]]&lt;&gt; 0, NOT(ISBLANK(SamplingData[[#This Row],[Losing Candidate]]))),(SamplingData[[#This Row],[Total]]+SamplingData[[#This Row],[Winning Candidate]]-SamplingData[[#This Row],[Losing Candidate]])/(SamplingData[[#Totals],[Winning Candidate]]-SamplingData[[#Totals],[Losing Candidate]]), 0)</f>
        <v>9.4810694646356112E-3</v>
      </c>
      <c r="R311" s="100">
        <f>IF(AND(SamplingData[[#This Row],[Total]]&lt;&gt; 0, NOT(ISBLANK(SamplingData[[#This Row],[Candidate 3]]))),(SamplingData[[#This Row],[Total]]+SamplingData[[#This Row],[Winning Candidate]]-SamplingData[[#This Row],[Candidate 3]])/(SamplingData[[#Totals],[Winning Candidate]]-SamplingData[[#Totals],[Candidate 3]]), 0)</f>
        <v>1.25310453827049E-2</v>
      </c>
      <c r="S311" s="100">
        <f>IF(AND(SamplingData[[#This Row],[Total]]&lt;&gt; 0, NOT(ISBLANK(SamplingData[[#This Row],[Candidate 4]]))),(SamplingData[[#This Row],[Total]]+SamplingData[[#This Row],[Winning Candidate]]-SamplingData[[#This Row],[Candidate 4]])/(SamplingData[[#Totals],[Winning Candidate]]-SamplingData[[#Totals],[Candidate 4]]), 0)</f>
        <v>0</v>
      </c>
      <c r="T311" s="100">
        <f>IF(AND(SamplingData[[#This Row],[Total]]&lt;&gt; 0, NOT(ISBLANK(SamplingData[[#This Row],[Candidate 5]]))),(SamplingData[[#This Row],[Total]]+SamplingData[[#This Row],[Winning Candidate]]-SamplingData[[#This Row],[Candidate 5]])/(SamplingData[[#Totals],[Winning Candidate]]-SamplingData[[#Totals],[Candidate 5]]), 0)</f>
        <v>0</v>
      </c>
      <c r="U311" s="100">
        <f>IF(AND(SamplingData[[#This Row],[Total]]&lt;&gt; 0, NOT(ISBLANK(SamplingData[[#This Row],[Candidate 6]]))),(SamplingData[[#This Row],[Total]]+SamplingData[[#This Row],[Losing Candidate]]-SamplingData[[#This Row],[Candidate 6]])/(SamplingData[[#Totals],[Winning Candidate]]-SamplingData[[#Totals],[Candidate 6]]), 0)</f>
        <v>0</v>
      </c>
      <c r="V311" s="100">
        <f>IF(AND(SamplingData[[#This Row],[Total]]&lt;&gt; 0, NOT(ISBLANK(SamplingData[[#This Row],[Candidate 7]]))),(SamplingData[[#This Row],[Total]]+SamplingData[[#This Row],[Winning Candidate]]-SamplingData[[#This Row],[Candidate 7]])/(SamplingData[[#Totals],[Winning Candidate]]-SamplingData[[#Totals],[Candidate 7]]), 0)</f>
        <v>0</v>
      </c>
      <c r="W311" s="100">
        <f>IF(AND(SamplingData[[#This Row],[Total]]&lt;&gt; 0, NOT(ISBLANK(SamplingData[[#This Row],[Candidate 8]]))),(SamplingData[[#This Row],[Total]]+SamplingData[[#This Row],[Winning Candidate]]-SamplingData[[#This Row],[Candidate 8]])/(SamplingData[[#Totals],[Winning Candidate]]-SamplingData[[#Totals],[Candidate 8]]), 0)</f>
        <v>0</v>
      </c>
      <c r="X31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1" s="100">
        <f>MAX(SamplingData[[#This Row],[Error Bound (up) - Max. possible relative overstatement - Losing Candidate]:[Error Bound (up) - Max. possible relative overstatement - Candidate 12]])</f>
        <v>1.25310453827049E-2</v>
      </c>
      <c r="AC311" s="100">
        <f>IF(SamplingData[[#This Row],[Max Error Bound (up)]] = 0,0,SamplingData[[#This Row],[Max Error Bound (up)]]/SamplingData[[#Totals],[Max Error Bound (up)]])</f>
        <v>5.0857943239894102E-3</v>
      </c>
      <c r="AD311" s="104">
        <f>SUM($AC$5:AC311)</f>
        <v>0.74621083372183827</v>
      </c>
      <c r="AE311" s="100" t="str" cm="1">
        <f t="array" ref="AE311">IF(SamplingData[[#This Row],[up/U Selection Probability]] = 0, "Zero", TEXT(SamplingData[[#This Row],[Lower Range]], REPT("0",LEN('General Info'!$B$42))) &amp; " - " &amp; TEXT(SamplingData[[#This Row],[Upper Range]], REPT("0",LEN('General Info'!$B$42))))</f>
        <v>74113 - 74620</v>
      </c>
      <c r="AF311" s="100">
        <f>SamplingData[[#This Row],[Upper Range]]-SamplingData[[#This Row],[Span]]</f>
        <v>74112.503939784889</v>
      </c>
      <c r="AG311" s="100">
        <f>IF(ISNUMBER('General Info'!$B$42), ((SamplingData[[#This Row],[up/U Selection Probability]]) * 'General Info'!$B$44) - 1, 0)</f>
        <v>507.57943239894104</v>
      </c>
      <c r="AH311" s="100">
        <f>IF(ISNUMBER('General Info'!$B$42), (SamplingData[[#This Row],[Running (cumulative) sum]] * ('General Info'!$B$42 -'General Info'!$B$43 + 1)) + 'General Info'!$B$43 - 1, 0)</f>
        <v>74620.083372183828</v>
      </c>
      <c r="AI311" s="100" t="str">
        <f>IF(ISERROR(MATCH(SamplingData[[#This Row],[Batch by Type (p)]],SelectedPrecincts[Batch Name], 0)), "", INDEX(SelectedPrecincts[Draw], MATCH(SamplingData[[#This Row],[Batch by Type (p)]],SelectedPrecincts[Batch Name], 0)))</f>
        <v/>
      </c>
      <c r="AJ311" s="101">
        <f>IF(COUNTIF(SelectedPrecincts[Batch Name],SamplingData[[#This Row],[Batch by Type (p)]]) &lt;&gt; 0, COUNTIF(SelectedPrecincts[Batch Name],SamplingData[[#This Row],[Batch by Type (p)]]), 0)</f>
        <v>0</v>
      </c>
    </row>
    <row r="312" spans="1:36" ht="15" customHeight="1" x14ac:dyDescent="0.35">
      <c r="A312" s="98" t="s">
        <v>523</v>
      </c>
      <c r="B312" s="98">
        <v>35</v>
      </c>
      <c r="C312" s="98">
        <v>29</v>
      </c>
      <c r="D312" s="93">
        <v>1</v>
      </c>
      <c r="E312" s="93"/>
      <c r="F312" s="93"/>
      <c r="G312" s="97"/>
      <c r="H312" s="97"/>
      <c r="I312" s="93"/>
      <c r="J312" s="93"/>
      <c r="K312" s="93"/>
      <c r="L312" s="93"/>
      <c r="M312" s="93"/>
      <c r="N312" s="98">
        <v>0</v>
      </c>
      <c r="O312" s="98">
        <v>0</v>
      </c>
      <c r="P312" s="99">
        <f>SUM(SamplingData[[#This Row],[Winning Candidate]:[Under Votes]])</f>
        <v>65</v>
      </c>
      <c r="Q312" s="100">
        <f>IF(AND(SamplingData[[#This Row],[Total]]&lt;&gt; 0, NOT(ISBLANK(SamplingData[[#This Row],[Losing Candidate]]))),(SamplingData[[#This Row],[Total]]+SamplingData[[#This Row],[Winning Candidate]]-SamplingData[[#This Row],[Losing Candidate]])/(SamplingData[[#Totals],[Winning Candidate]]-SamplingData[[#Totals],[Losing Candidate]]), 0)</f>
        <v>4.4877062132608562E-3</v>
      </c>
      <c r="R312" s="100">
        <f>IF(AND(SamplingData[[#This Row],[Total]]&lt;&gt; 0, NOT(ISBLANK(SamplingData[[#This Row],[Candidate 3]]))),(SamplingData[[#This Row],[Total]]+SamplingData[[#This Row],[Winning Candidate]]-SamplingData[[#This Row],[Candidate 3]])/(SamplingData[[#Totals],[Winning Candidate]]-SamplingData[[#Totals],[Candidate 3]]), 0)</f>
        <v>5.5881688868819144E-3</v>
      </c>
      <c r="S312" s="100">
        <f>IF(AND(SamplingData[[#This Row],[Total]]&lt;&gt; 0, NOT(ISBLANK(SamplingData[[#This Row],[Candidate 4]]))),(SamplingData[[#This Row],[Total]]+SamplingData[[#This Row],[Winning Candidate]]-SamplingData[[#This Row],[Candidate 4]])/(SamplingData[[#Totals],[Winning Candidate]]-SamplingData[[#Totals],[Candidate 4]]), 0)</f>
        <v>0</v>
      </c>
      <c r="T312" s="100">
        <f>IF(AND(SamplingData[[#This Row],[Total]]&lt;&gt; 0, NOT(ISBLANK(SamplingData[[#This Row],[Candidate 5]]))),(SamplingData[[#This Row],[Total]]+SamplingData[[#This Row],[Winning Candidate]]-SamplingData[[#This Row],[Candidate 5]])/(SamplingData[[#Totals],[Winning Candidate]]-SamplingData[[#Totals],[Candidate 5]]), 0)</f>
        <v>0</v>
      </c>
      <c r="U312" s="100">
        <f>IF(AND(SamplingData[[#This Row],[Total]]&lt;&gt; 0, NOT(ISBLANK(SamplingData[[#This Row],[Candidate 6]]))),(SamplingData[[#This Row],[Total]]+SamplingData[[#This Row],[Losing Candidate]]-SamplingData[[#This Row],[Candidate 6]])/(SamplingData[[#Totals],[Winning Candidate]]-SamplingData[[#Totals],[Candidate 6]]), 0)</f>
        <v>0</v>
      </c>
      <c r="V312" s="100">
        <f>IF(AND(SamplingData[[#This Row],[Total]]&lt;&gt; 0, NOT(ISBLANK(SamplingData[[#This Row],[Candidate 7]]))),(SamplingData[[#This Row],[Total]]+SamplingData[[#This Row],[Winning Candidate]]-SamplingData[[#This Row],[Candidate 7]])/(SamplingData[[#Totals],[Winning Candidate]]-SamplingData[[#Totals],[Candidate 7]]), 0)</f>
        <v>0</v>
      </c>
      <c r="W312" s="100">
        <f>IF(AND(SamplingData[[#This Row],[Total]]&lt;&gt; 0, NOT(ISBLANK(SamplingData[[#This Row],[Candidate 8]]))),(SamplingData[[#This Row],[Total]]+SamplingData[[#This Row],[Winning Candidate]]-SamplingData[[#This Row],[Candidate 8]])/(SamplingData[[#Totals],[Winning Candidate]]-SamplingData[[#Totals],[Candidate 8]]), 0)</f>
        <v>0</v>
      </c>
      <c r="X31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2" s="100">
        <f>MAX(SamplingData[[#This Row],[Error Bound (up) - Max. possible relative overstatement - Losing Candidate]:[Error Bound (up) - Max. possible relative overstatement - Candidate 12]])</f>
        <v>5.5881688868819144E-3</v>
      </c>
      <c r="AC312" s="100">
        <f>IF(SamplingData[[#This Row],[Max Error Bound (up)]] = 0,0,SamplingData[[#This Row],[Max Error Bound (up)]]/SamplingData[[#Totals],[Max Error Bound (up)]])</f>
        <v>2.2679893606979799E-3</v>
      </c>
      <c r="AD312" s="104">
        <f>SUM($AC$5:AC312)</f>
        <v>0.74847882308253622</v>
      </c>
      <c r="AE312" s="100" t="str" cm="1">
        <f t="array" ref="AE312">IF(SamplingData[[#This Row],[up/U Selection Probability]] = 0, "Zero", TEXT(SamplingData[[#This Row],[Lower Range]], REPT("0",LEN('General Info'!$B$42))) &amp; " - " &amp; TEXT(SamplingData[[#This Row],[Upper Range]], REPT("0",LEN('General Info'!$B$42))))</f>
        <v>74621 - 74847</v>
      </c>
      <c r="AF312" s="100">
        <f>SamplingData[[#This Row],[Upper Range]]-SamplingData[[#This Row],[Span]]</f>
        <v>74621.083372183828</v>
      </c>
      <c r="AG312" s="100">
        <f>IF(ISNUMBER('General Info'!$B$42), ((SamplingData[[#This Row],[up/U Selection Probability]]) * 'General Info'!$B$44) - 1, 0)</f>
        <v>225.798936069798</v>
      </c>
      <c r="AH312" s="100">
        <f>IF(ISNUMBER('General Info'!$B$42), (SamplingData[[#This Row],[Running (cumulative) sum]] * ('General Info'!$B$42 -'General Info'!$B$43 + 1)) + 'General Info'!$B$43 - 1, 0)</f>
        <v>74846.882308253626</v>
      </c>
      <c r="AI312" s="100" t="str">
        <f>IF(ISERROR(MATCH(SamplingData[[#This Row],[Batch by Type (p)]],SelectedPrecincts[Batch Name], 0)), "", INDEX(SelectedPrecincts[Draw], MATCH(SamplingData[[#This Row],[Batch by Type (p)]],SelectedPrecincts[Batch Name], 0)))</f>
        <v/>
      </c>
      <c r="AJ312" s="101">
        <f>IF(COUNTIF(SelectedPrecincts[Batch Name],SamplingData[[#This Row],[Batch by Type (p)]]) &lt;&gt; 0, COUNTIF(SelectedPrecincts[Batch Name],SamplingData[[#This Row],[Batch by Type (p)]]), 0)</f>
        <v>0</v>
      </c>
    </row>
    <row r="313" spans="1:36" ht="15" customHeight="1" x14ac:dyDescent="0.35">
      <c r="A313" s="98" t="s">
        <v>524</v>
      </c>
      <c r="B313" s="98">
        <v>4</v>
      </c>
      <c r="C313" s="98">
        <v>0</v>
      </c>
      <c r="D313" s="93">
        <v>0</v>
      </c>
      <c r="E313" s="93"/>
      <c r="F313" s="93"/>
      <c r="G313" s="97"/>
      <c r="H313" s="97"/>
      <c r="I313" s="93"/>
      <c r="J313" s="93"/>
      <c r="K313" s="93"/>
      <c r="L313" s="93"/>
      <c r="M313" s="93"/>
      <c r="N313" s="98">
        <v>0</v>
      </c>
      <c r="O313" s="98">
        <v>0</v>
      </c>
      <c r="P313" s="99">
        <f>SUM(SamplingData[[#This Row],[Winning Candidate]:[Under Votes]])</f>
        <v>4</v>
      </c>
      <c r="Q313"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5.0565703811389926E-4</v>
      </c>
      <c r="R313" s="100">
        <f>IF(AND(SamplingData[[#This Row],[Total]]&lt;&gt; 0, NOT(ISBLANK(SamplingData[[#This Row],[Candidate 3]]))),(SamplingData[[#This Row],[Total]]+SamplingData[[#This Row],[Winning Candidate]]-SamplingData[[#This Row],[Candidate 3]])/(SamplingData[[#Totals],[Winning Candidate]]-SamplingData[[#Totals],[Candidate 3]]), 0)</f>
        <v>4.5156920298035672E-4</v>
      </c>
      <c r="S313" s="100">
        <f>IF(AND(SamplingData[[#This Row],[Total]]&lt;&gt; 0, NOT(ISBLANK(SamplingData[[#This Row],[Candidate 4]]))),(SamplingData[[#This Row],[Total]]+SamplingData[[#This Row],[Winning Candidate]]-SamplingData[[#This Row],[Candidate 4]])/(SamplingData[[#Totals],[Winning Candidate]]-SamplingData[[#Totals],[Candidate 4]]), 0)</f>
        <v>0</v>
      </c>
      <c r="T313" s="100">
        <f>IF(AND(SamplingData[[#This Row],[Total]]&lt;&gt; 0, NOT(ISBLANK(SamplingData[[#This Row],[Candidate 5]]))),(SamplingData[[#This Row],[Total]]+SamplingData[[#This Row],[Winning Candidate]]-SamplingData[[#This Row],[Candidate 5]])/(SamplingData[[#Totals],[Winning Candidate]]-SamplingData[[#Totals],[Candidate 5]]), 0)</f>
        <v>0</v>
      </c>
      <c r="U313" s="100">
        <f>IF(AND(SamplingData[[#This Row],[Total]]&lt;&gt; 0, NOT(ISBLANK(SamplingData[[#This Row],[Candidate 6]]))),(SamplingData[[#This Row],[Total]]+SamplingData[[#This Row],[Losing Candidate]]-SamplingData[[#This Row],[Candidate 6]])/(SamplingData[[#Totals],[Winning Candidate]]-SamplingData[[#Totals],[Candidate 6]]), 0)</f>
        <v>0</v>
      </c>
      <c r="V313" s="100">
        <f>IF(AND(SamplingData[[#This Row],[Total]]&lt;&gt; 0, NOT(ISBLANK(SamplingData[[#This Row],[Candidate 7]]))),(SamplingData[[#This Row],[Total]]+SamplingData[[#This Row],[Winning Candidate]]-SamplingData[[#This Row],[Candidate 7]])/(SamplingData[[#Totals],[Winning Candidate]]-SamplingData[[#Totals],[Candidate 7]]), 0)</f>
        <v>0</v>
      </c>
      <c r="W313" s="100">
        <f>IF(AND(SamplingData[[#This Row],[Total]]&lt;&gt; 0, NOT(ISBLANK(SamplingData[[#This Row],[Candidate 8]]))),(SamplingData[[#This Row],[Total]]+SamplingData[[#This Row],[Winning Candidate]]-SamplingData[[#This Row],[Candidate 8]])/(SamplingData[[#Totals],[Winning Candidate]]-SamplingData[[#Totals],[Candidate 8]]), 0)</f>
        <v>0</v>
      </c>
      <c r="X31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3" s="100">
        <f>MAX(SamplingData[[#This Row],[Error Bound (up) - Max. possible relative overstatement - Losing Candidate]:[Error Bound (up) - Max. possible relative overstatement - Candidate 12]])</f>
        <v>5.0565703811389926E-4</v>
      </c>
      <c r="AC313" s="100">
        <f>IF(SamplingData[[#This Row],[Max Error Bound (up)]] = 0,0,SamplingData[[#This Row],[Max Error Bound (up)]]/SamplingData[[#Totals],[Max Error Bound (up)]])</f>
        <v>2.0522371564261752E-4</v>
      </c>
      <c r="AD313" s="104">
        <f>SUM($AC$5:AC313)</f>
        <v>0.74868404679817879</v>
      </c>
      <c r="AE313" s="100" t="str" cm="1">
        <f t="array" ref="AE313">IF(SamplingData[[#This Row],[up/U Selection Probability]] = 0, "Zero", TEXT(SamplingData[[#This Row],[Lower Range]], REPT("0",LEN('General Info'!$B$42))) &amp; " - " &amp; TEXT(SamplingData[[#This Row],[Upper Range]], REPT("0",LEN('General Info'!$B$42))))</f>
        <v>74848 - 74867</v>
      </c>
      <c r="AF313" s="100">
        <f>SamplingData[[#This Row],[Upper Range]]-SamplingData[[#This Row],[Span]]</f>
        <v>74847.882308253611</v>
      </c>
      <c r="AG313" s="100">
        <f>IF(ISNUMBER('General Info'!$B$42), ((SamplingData[[#This Row],[up/U Selection Probability]]) * 'General Info'!$B$44) - 1, 0)</f>
        <v>19.522371564261753</v>
      </c>
      <c r="AH313" s="100">
        <f>IF(ISNUMBER('General Info'!$B$42), (SamplingData[[#This Row],[Running (cumulative) sum]] * ('General Info'!$B$42 -'General Info'!$B$43 + 1)) + 'General Info'!$B$43 - 1, 0)</f>
        <v>74867.404679817875</v>
      </c>
      <c r="AI313" s="100" t="str">
        <f>IF(ISERROR(MATCH(SamplingData[[#This Row],[Batch by Type (p)]],SelectedPrecincts[Batch Name], 0)), "", INDEX(SelectedPrecincts[Draw], MATCH(SamplingData[[#This Row],[Batch by Type (p)]],SelectedPrecincts[Batch Name], 0)))</f>
        <v/>
      </c>
      <c r="AJ313" s="101">
        <f>IF(COUNTIF(SelectedPrecincts[Batch Name],SamplingData[[#This Row],[Batch by Type (p)]]) &lt;&gt; 0, COUNTIF(SelectedPrecincts[Batch Name],SamplingData[[#This Row],[Batch by Type (p)]]), 0)</f>
        <v>0</v>
      </c>
    </row>
    <row r="314" spans="1:36" ht="15" customHeight="1" x14ac:dyDescent="0.35">
      <c r="A314" s="98" t="s">
        <v>525</v>
      </c>
      <c r="B314" s="98">
        <v>37</v>
      </c>
      <c r="C314" s="98">
        <v>19</v>
      </c>
      <c r="D314" s="93">
        <v>3</v>
      </c>
      <c r="E314" s="93"/>
      <c r="F314" s="93"/>
      <c r="G314" s="97"/>
      <c r="H314" s="97"/>
      <c r="I314" s="93"/>
      <c r="J314" s="93"/>
      <c r="K314" s="93"/>
      <c r="L314" s="93"/>
      <c r="M314" s="93"/>
      <c r="N314" s="98">
        <v>1</v>
      </c>
      <c r="O314" s="98">
        <v>0</v>
      </c>
      <c r="P314" s="99">
        <f>SUM(SamplingData[[#This Row],[Winning Candidate]:[Under Votes]])</f>
        <v>60</v>
      </c>
      <c r="Q314" s="100">
        <f>IF(AND(SamplingData[[#This Row],[Total]]&lt;&gt; 0, NOT(ISBLANK(SamplingData[[#This Row],[Losing Candidate]]))),(SamplingData[[#This Row],[Total]]+SamplingData[[#This Row],[Winning Candidate]]-SamplingData[[#This Row],[Losing Candidate]])/(SamplingData[[#Totals],[Winning Candidate]]-SamplingData[[#Totals],[Losing Candidate]]), 0)</f>
        <v>4.9301561216105174E-3</v>
      </c>
      <c r="R314" s="100">
        <f>IF(AND(SamplingData[[#This Row],[Total]]&lt;&gt; 0, NOT(ISBLANK(SamplingData[[#This Row],[Candidate 3]]))),(SamplingData[[#This Row],[Total]]+SamplingData[[#This Row],[Winning Candidate]]-SamplingData[[#This Row],[Candidate 3]])/(SamplingData[[#Totals],[Winning Candidate]]-SamplingData[[#Totals],[Candidate 3]]), 0)</f>
        <v>5.3059381350191916E-3</v>
      </c>
      <c r="S314" s="100">
        <f>IF(AND(SamplingData[[#This Row],[Total]]&lt;&gt; 0, NOT(ISBLANK(SamplingData[[#This Row],[Candidate 4]]))),(SamplingData[[#This Row],[Total]]+SamplingData[[#This Row],[Winning Candidate]]-SamplingData[[#This Row],[Candidate 4]])/(SamplingData[[#Totals],[Winning Candidate]]-SamplingData[[#Totals],[Candidate 4]]), 0)</f>
        <v>0</v>
      </c>
      <c r="T314" s="100">
        <f>IF(AND(SamplingData[[#This Row],[Total]]&lt;&gt; 0, NOT(ISBLANK(SamplingData[[#This Row],[Candidate 5]]))),(SamplingData[[#This Row],[Total]]+SamplingData[[#This Row],[Winning Candidate]]-SamplingData[[#This Row],[Candidate 5]])/(SamplingData[[#Totals],[Winning Candidate]]-SamplingData[[#Totals],[Candidate 5]]), 0)</f>
        <v>0</v>
      </c>
      <c r="U314" s="100">
        <f>IF(AND(SamplingData[[#This Row],[Total]]&lt;&gt; 0, NOT(ISBLANK(SamplingData[[#This Row],[Candidate 6]]))),(SamplingData[[#This Row],[Total]]+SamplingData[[#This Row],[Losing Candidate]]-SamplingData[[#This Row],[Candidate 6]])/(SamplingData[[#Totals],[Winning Candidate]]-SamplingData[[#Totals],[Candidate 6]]), 0)</f>
        <v>0</v>
      </c>
      <c r="V314" s="100">
        <f>IF(AND(SamplingData[[#This Row],[Total]]&lt;&gt; 0, NOT(ISBLANK(SamplingData[[#This Row],[Candidate 7]]))),(SamplingData[[#This Row],[Total]]+SamplingData[[#This Row],[Winning Candidate]]-SamplingData[[#This Row],[Candidate 7]])/(SamplingData[[#Totals],[Winning Candidate]]-SamplingData[[#Totals],[Candidate 7]]), 0)</f>
        <v>0</v>
      </c>
      <c r="W314" s="100">
        <f>IF(AND(SamplingData[[#This Row],[Total]]&lt;&gt; 0, NOT(ISBLANK(SamplingData[[#This Row],[Candidate 8]]))),(SamplingData[[#This Row],[Total]]+SamplingData[[#This Row],[Winning Candidate]]-SamplingData[[#This Row],[Candidate 8]])/(SamplingData[[#Totals],[Winning Candidate]]-SamplingData[[#Totals],[Candidate 8]]), 0)</f>
        <v>0</v>
      </c>
      <c r="X31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4" s="100">
        <f>MAX(SamplingData[[#This Row],[Error Bound (up) - Max. possible relative overstatement - Losing Candidate]:[Error Bound (up) - Max. possible relative overstatement - Candidate 12]])</f>
        <v>5.3059381350191916E-3</v>
      </c>
      <c r="AC314" s="100">
        <f>IF(SamplingData[[#This Row],[Max Error Bound (up)]] = 0,0,SamplingData[[#This Row],[Max Error Bound (up)]]/SamplingData[[#Totals],[Max Error Bound (up)]])</f>
        <v>2.1534444434910113E-3</v>
      </c>
      <c r="AD314" s="104">
        <f>SUM($AC$5:AC314)</f>
        <v>0.75083749124166976</v>
      </c>
      <c r="AE314" s="100" t="str" cm="1">
        <f t="array" ref="AE314">IF(SamplingData[[#This Row],[up/U Selection Probability]] = 0, "Zero", TEXT(SamplingData[[#This Row],[Lower Range]], REPT("0",LEN('General Info'!$B$42))) &amp; " - " &amp; TEXT(SamplingData[[#This Row],[Upper Range]], REPT("0",LEN('General Info'!$B$42))))</f>
        <v>74868 - 75083</v>
      </c>
      <c r="AF314" s="100">
        <f>SamplingData[[#This Row],[Upper Range]]-SamplingData[[#This Row],[Span]]</f>
        <v>74868.404679817875</v>
      </c>
      <c r="AG314" s="100">
        <f>IF(ISNUMBER('General Info'!$B$42), ((SamplingData[[#This Row],[up/U Selection Probability]]) * 'General Info'!$B$44) - 1, 0)</f>
        <v>214.34444434910114</v>
      </c>
      <c r="AH314" s="100">
        <f>IF(ISNUMBER('General Info'!$B$42), (SamplingData[[#This Row],[Running (cumulative) sum]] * ('General Info'!$B$42 -'General Info'!$B$43 + 1)) + 'General Info'!$B$43 - 1, 0)</f>
        <v>75082.749124166978</v>
      </c>
      <c r="AI314" s="100" t="str">
        <f>IF(ISERROR(MATCH(SamplingData[[#This Row],[Batch by Type (p)]],SelectedPrecincts[Batch Name], 0)), "", INDEX(SelectedPrecincts[Draw], MATCH(SamplingData[[#This Row],[Batch by Type (p)]],SelectedPrecincts[Batch Name], 0)))</f>
        <v/>
      </c>
      <c r="AJ314" s="101">
        <f>IF(COUNTIF(SelectedPrecincts[Batch Name],SamplingData[[#This Row],[Batch by Type (p)]]) &lt;&gt; 0, COUNTIF(SelectedPrecincts[Batch Name],SamplingData[[#This Row],[Batch by Type (p)]]), 0)</f>
        <v>0</v>
      </c>
    </row>
    <row r="315" spans="1:36" ht="15" customHeight="1" x14ac:dyDescent="0.35">
      <c r="A315" s="98" t="s">
        <v>526</v>
      </c>
      <c r="B315" s="98">
        <v>38</v>
      </c>
      <c r="C315" s="98">
        <v>14</v>
      </c>
      <c r="D315" s="93">
        <v>2</v>
      </c>
      <c r="E315" s="93"/>
      <c r="F315" s="93"/>
      <c r="G315" s="97"/>
      <c r="H315" s="97"/>
      <c r="I315" s="93"/>
      <c r="J315" s="93"/>
      <c r="K315" s="93"/>
      <c r="L315" s="93"/>
      <c r="M315" s="93"/>
      <c r="N315" s="98">
        <v>0</v>
      </c>
      <c r="O315" s="98">
        <v>1</v>
      </c>
      <c r="P315" s="99">
        <f>SUM(SamplingData[[#This Row],[Winning Candidate]:[Under Votes]])</f>
        <v>55</v>
      </c>
      <c r="Q315" s="100">
        <f>IF(AND(SamplingData[[#This Row],[Total]]&lt;&gt; 0, NOT(ISBLANK(SamplingData[[#This Row],[Losing Candidate]]))),(SamplingData[[#This Row],[Total]]+SamplingData[[#This Row],[Winning Candidate]]-SamplingData[[#This Row],[Losing Candidate]])/(SamplingData[[#Totals],[Winning Candidate]]-SamplingData[[#Totals],[Losing Candidate]]), 0)</f>
        <v>4.993363251374755E-3</v>
      </c>
      <c r="R315" s="100">
        <f>IF(AND(SamplingData[[#This Row],[Total]]&lt;&gt; 0, NOT(ISBLANK(SamplingData[[#This Row],[Candidate 3]]))),(SamplingData[[#This Row],[Total]]+SamplingData[[#This Row],[Winning Candidate]]-SamplingData[[#This Row],[Candidate 3]])/(SamplingData[[#Totals],[Winning Candidate]]-SamplingData[[#Totals],[Candidate 3]]), 0)</f>
        <v>5.1365996839015582E-3</v>
      </c>
      <c r="S315" s="100">
        <f>IF(AND(SamplingData[[#This Row],[Total]]&lt;&gt; 0, NOT(ISBLANK(SamplingData[[#This Row],[Candidate 4]]))),(SamplingData[[#This Row],[Total]]+SamplingData[[#This Row],[Winning Candidate]]-SamplingData[[#This Row],[Candidate 4]])/(SamplingData[[#Totals],[Winning Candidate]]-SamplingData[[#Totals],[Candidate 4]]), 0)</f>
        <v>0</v>
      </c>
      <c r="T315" s="100">
        <f>IF(AND(SamplingData[[#This Row],[Total]]&lt;&gt; 0, NOT(ISBLANK(SamplingData[[#This Row],[Candidate 5]]))),(SamplingData[[#This Row],[Total]]+SamplingData[[#This Row],[Winning Candidate]]-SamplingData[[#This Row],[Candidate 5]])/(SamplingData[[#Totals],[Winning Candidate]]-SamplingData[[#Totals],[Candidate 5]]), 0)</f>
        <v>0</v>
      </c>
      <c r="U315" s="100">
        <f>IF(AND(SamplingData[[#This Row],[Total]]&lt;&gt; 0, NOT(ISBLANK(SamplingData[[#This Row],[Candidate 6]]))),(SamplingData[[#This Row],[Total]]+SamplingData[[#This Row],[Losing Candidate]]-SamplingData[[#This Row],[Candidate 6]])/(SamplingData[[#Totals],[Winning Candidate]]-SamplingData[[#Totals],[Candidate 6]]), 0)</f>
        <v>0</v>
      </c>
      <c r="V315" s="100">
        <f>IF(AND(SamplingData[[#This Row],[Total]]&lt;&gt; 0, NOT(ISBLANK(SamplingData[[#This Row],[Candidate 7]]))),(SamplingData[[#This Row],[Total]]+SamplingData[[#This Row],[Winning Candidate]]-SamplingData[[#This Row],[Candidate 7]])/(SamplingData[[#Totals],[Winning Candidate]]-SamplingData[[#Totals],[Candidate 7]]), 0)</f>
        <v>0</v>
      </c>
      <c r="W315" s="100">
        <f>IF(AND(SamplingData[[#This Row],[Total]]&lt;&gt; 0, NOT(ISBLANK(SamplingData[[#This Row],[Candidate 8]]))),(SamplingData[[#This Row],[Total]]+SamplingData[[#This Row],[Winning Candidate]]-SamplingData[[#This Row],[Candidate 8]])/(SamplingData[[#Totals],[Winning Candidate]]-SamplingData[[#Totals],[Candidate 8]]), 0)</f>
        <v>0</v>
      </c>
      <c r="X31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5" s="100">
        <f>MAX(SamplingData[[#This Row],[Error Bound (up) - Max. possible relative overstatement - Losing Candidate]:[Error Bound (up) - Max. possible relative overstatement - Candidate 12]])</f>
        <v>5.1365996839015582E-3</v>
      </c>
      <c r="AC315" s="100">
        <f>IF(SamplingData[[#This Row],[Max Error Bound (up)]] = 0,0,SamplingData[[#This Row],[Max Error Bound (up)]]/SamplingData[[#Totals],[Max Error Bound (up)]])</f>
        <v>2.0847174931668301E-3</v>
      </c>
      <c r="AD315" s="104">
        <f>SUM($AC$5:AC315)</f>
        <v>0.75292220873483662</v>
      </c>
      <c r="AE315" s="100" t="str" cm="1">
        <f t="array" ref="AE315">IF(SamplingData[[#This Row],[up/U Selection Probability]] = 0, "Zero", TEXT(SamplingData[[#This Row],[Lower Range]], REPT("0",LEN('General Info'!$B$42))) &amp; " - " &amp; TEXT(SamplingData[[#This Row],[Upper Range]], REPT("0",LEN('General Info'!$B$42))))</f>
        <v>75084 - 75291</v>
      </c>
      <c r="AF315" s="100">
        <f>SamplingData[[#This Row],[Upper Range]]-SamplingData[[#This Row],[Span]]</f>
        <v>75083.749124166978</v>
      </c>
      <c r="AG315" s="100">
        <f>IF(ISNUMBER('General Info'!$B$42), ((SamplingData[[#This Row],[up/U Selection Probability]]) * 'General Info'!$B$44) - 1, 0)</f>
        <v>207.471749316683</v>
      </c>
      <c r="AH315" s="100">
        <f>IF(ISNUMBER('General Info'!$B$42), (SamplingData[[#This Row],[Running (cumulative) sum]] * ('General Info'!$B$42 -'General Info'!$B$43 + 1)) + 'General Info'!$B$43 - 1, 0)</f>
        <v>75291.22087348366</v>
      </c>
      <c r="AI315" s="100" t="str">
        <f>IF(ISERROR(MATCH(SamplingData[[#This Row],[Batch by Type (p)]],SelectedPrecincts[Batch Name], 0)), "", INDEX(SelectedPrecincts[Draw], MATCH(SamplingData[[#This Row],[Batch by Type (p)]],SelectedPrecincts[Batch Name], 0)))</f>
        <v/>
      </c>
      <c r="AJ315" s="101">
        <f>IF(COUNTIF(SelectedPrecincts[Batch Name],SamplingData[[#This Row],[Batch by Type (p)]]) &lt;&gt; 0, COUNTIF(SelectedPrecincts[Batch Name],SamplingData[[#This Row],[Batch by Type (p)]]), 0)</f>
        <v>0</v>
      </c>
    </row>
    <row r="316" spans="1:36" ht="15" customHeight="1" x14ac:dyDescent="0.35">
      <c r="A316" s="98" t="s">
        <v>527</v>
      </c>
      <c r="B316" s="98">
        <v>84</v>
      </c>
      <c r="C316" s="98">
        <v>24</v>
      </c>
      <c r="D316" s="93">
        <v>6</v>
      </c>
      <c r="E316" s="93"/>
      <c r="F316" s="93"/>
      <c r="G316" s="97"/>
      <c r="H316" s="97"/>
      <c r="I316" s="93"/>
      <c r="J316" s="93"/>
      <c r="K316" s="93"/>
      <c r="L316" s="93"/>
      <c r="M316" s="93"/>
      <c r="N316" s="98">
        <v>0</v>
      </c>
      <c r="O316" s="98">
        <v>1</v>
      </c>
      <c r="P316" s="99">
        <f>SUM(SamplingData[[#This Row],[Winning Candidate]:[Under Votes]])</f>
        <v>115</v>
      </c>
      <c r="Q316" s="100">
        <f>IF(AND(SamplingData[[#This Row],[Total]]&lt;&gt; 0, NOT(ISBLANK(SamplingData[[#This Row],[Losing Candidate]]))),(SamplingData[[#This Row],[Total]]+SamplingData[[#This Row],[Winning Candidate]]-SamplingData[[#This Row],[Losing Candidate]])/(SamplingData[[#Totals],[Winning Candidate]]-SamplingData[[#Totals],[Losing Candidate]]), 0)</f>
        <v>1.1061247708741546E-2</v>
      </c>
      <c r="R316" s="100">
        <f>IF(AND(SamplingData[[#This Row],[Total]]&lt;&gt; 0, NOT(ISBLANK(SamplingData[[#This Row],[Candidate 3]]))),(SamplingData[[#This Row],[Total]]+SamplingData[[#This Row],[Winning Candidate]]-SamplingData[[#This Row],[Candidate 3]])/(SamplingData[[#Totals],[Winning Candidate]]-SamplingData[[#Totals],[Candidate 3]]), 0)</f>
        <v>1.0894107021901106E-2</v>
      </c>
      <c r="S316" s="100">
        <f>IF(AND(SamplingData[[#This Row],[Total]]&lt;&gt; 0, NOT(ISBLANK(SamplingData[[#This Row],[Candidate 4]]))),(SamplingData[[#This Row],[Total]]+SamplingData[[#This Row],[Winning Candidate]]-SamplingData[[#This Row],[Candidate 4]])/(SamplingData[[#Totals],[Winning Candidate]]-SamplingData[[#Totals],[Candidate 4]]), 0)</f>
        <v>0</v>
      </c>
      <c r="T316" s="100">
        <f>IF(AND(SamplingData[[#This Row],[Total]]&lt;&gt; 0, NOT(ISBLANK(SamplingData[[#This Row],[Candidate 5]]))),(SamplingData[[#This Row],[Total]]+SamplingData[[#This Row],[Winning Candidate]]-SamplingData[[#This Row],[Candidate 5]])/(SamplingData[[#Totals],[Winning Candidate]]-SamplingData[[#Totals],[Candidate 5]]), 0)</f>
        <v>0</v>
      </c>
      <c r="U316" s="100">
        <f>IF(AND(SamplingData[[#This Row],[Total]]&lt;&gt; 0, NOT(ISBLANK(SamplingData[[#This Row],[Candidate 6]]))),(SamplingData[[#This Row],[Total]]+SamplingData[[#This Row],[Losing Candidate]]-SamplingData[[#This Row],[Candidate 6]])/(SamplingData[[#Totals],[Winning Candidate]]-SamplingData[[#Totals],[Candidate 6]]), 0)</f>
        <v>0</v>
      </c>
      <c r="V316" s="100">
        <f>IF(AND(SamplingData[[#This Row],[Total]]&lt;&gt; 0, NOT(ISBLANK(SamplingData[[#This Row],[Candidate 7]]))),(SamplingData[[#This Row],[Total]]+SamplingData[[#This Row],[Winning Candidate]]-SamplingData[[#This Row],[Candidate 7]])/(SamplingData[[#Totals],[Winning Candidate]]-SamplingData[[#Totals],[Candidate 7]]), 0)</f>
        <v>0</v>
      </c>
      <c r="W316" s="100">
        <f>IF(AND(SamplingData[[#This Row],[Total]]&lt;&gt; 0, NOT(ISBLANK(SamplingData[[#This Row],[Candidate 8]]))),(SamplingData[[#This Row],[Total]]+SamplingData[[#This Row],[Winning Candidate]]-SamplingData[[#This Row],[Candidate 8]])/(SamplingData[[#Totals],[Winning Candidate]]-SamplingData[[#Totals],[Candidate 8]]), 0)</f>
        <v>0</v>
      </c>
      <c r="X31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6" s="100">
        <f>MAX(SamplingData[[#This Row],[Error Bound (up) - Max. possible relative overstatement - Losing Candidate]:[Error Bound (up) - Max. possible relative overstatement - Candidate 12]])</f>
        <v>1.1061247708741546E-2</v>
      </c>
      <c r="AC316" s="100">
        <f>IF(SamplingData[[#This Row],[Max Error Bound (up)]] = 0,0,SamplingData[[#This Row],[Max Error Bound (up)]]/SamplingData[[#Totals],[Max Error Bound (up)]])</f>
        <v>4.4892687796822582E-3</v>
      </c>
      <c r="AD316" s="104">
        <f>SUM($AC$5:AC316)</f>
        <v>0.75741147751451887</v>
      </c>
      <c r="AE316" s="100" t="str" cm="1">
        <f t="array" ref="AE316">IF(SamplingData[[#This Row],[up/U Selection Probability]] = 0, "Zero", TEXT(SamplingData[[#This Row],[Lower Range]], REPT("0",LEN('General Info'!$B$42))) &amp; " - " &amp; TEXT(SamplingData[[#This Row],[Upper Range]], REPT("0",LEN('General Info'!$B$42))))</f>
        <v>75292 - 75740</v>
      </c>
      <c r="AF316" s="100">
        <f>SamplingData[[#This Row],[Upper Range]]-SamplingData[[#This Row],[Span]]</f>
        <v>75292.22087348366</v>
      </c>
      <c r="AG316" s="100">
        <f>IF(ISNUMBER('General Info'!$B$42), ((SamplingData[[#This Row],[up/U Selection Probability]]) * 'General Info'!$B$44) - 1, 0)</f>
        <v>447.92687796822582</v>
      </c>
      <c r="AH316" s="100">
        <f>IF(ISNUMBER('General Info'!$B$42), (SamplingData[[#This Row],[Running (cumulative) sum]] * ('General Info'!$B$42 -'General Info'!$B$43 + 1)) + 'General Info'!$B$43 - 1, 0)</f>
        <v>75740.147751451892</v>
      </c>
      <c r="AI316" s="100" t="str">
        <f>IF(ISERROR(MATCH(SamplingData[[#This Row],[Batch by Type (p)]],SelectedPrecincts[Batch Name], 0)), "", INDEX(SelectedPrecincts[Draw], MATCH(SamplingData[[#This Row],[Batch by Type (p)]],SelectedPrecincts[Batch Name], 0)))</f>
        <v/>
      </c>
      <c r="AJ316" s="101">
        <f>IF(COUNTIF(SelectedPrecincts[Batch Name],SamplingData[[#This Row],[Batch by Type (p)]]) &lt;&gt; 0, COUNTIF(SelectedPrecincts[Batch Name],SamplingData[[#This Row],[Batch by Type (p)]]), 0)</f>
        <v>0</v>
      </c>
    </row>
    <row r="317" spans="1:36" ht="15" customHeight="1" x14ac:dyDescent="0.35">
      <c r="A317" s="98" t="s">
        <v>528</v>
      </c>
      <c r="B317" s="98">
        <v>86</v>
      </c>
      <c r="C317" s="98">
        <v>13</v>
      </c>
      <c r="D317" s="93">
        <v>3</v>
      </c>
      <c r="E317" s="93"/>
      <c r="F317" s="93"/>
      <c r="G317" s="97"/>
      <c r="H317" s="97"/>
      <c r="I317" s="93"/>
      <c r="J317" s="93"/>
      <c r="K317" s="93"/>
      <c r="L317" s="93"/>
      <c r="M317" s="93"/>
      <c r="N317" s="98">
        <v>0</v>
      </c>
      <c r="O317" s="98">
        <v>0</v>
      </c>
      <c r="P317" s="99">
        <f>SUM(SamplingData[[#This Row],[Winning Candidate]:[Under Votes]])</f>
        <v>102</v>
      </c>
      <c r="Q317" s="100">
        <f>IF(AND(SamplingData[[#This Row],[Total]]&lt;&gt; 0, NOT(ISBLANK(SamplingData[[#This Row],[Losing Candidate]]))),(SamplingData[[#This Row],[Total]]+SamplingData[[#This Row],[Winning Candidate]]-SamplingData[[#This Row],[Losing Candidate]])/(SamplingData[[#Totals],[Winning Candidate]]-SamplingData[[#Totals],[Losing Candidate]]), 0)</f>
        <v>1.1061247708741546E-2</v>
      </c>
      <c r="R317" s="100">
        <f>IF(AND(SamplingData[[#This Row],[Total]]&lt;&gt; 0, NOT(ISBLANK(SamplingData[[#This Row],[Candidate 3]]))),(SamplingData[[#This Row],[Total]]+SamplingData[[#This Row],[Winning Candidate]]-SamplingData[[#This Row],[Candidate 3]])/(SamplingData[[#Totals],[Winning Candidate]]-SamplingData[[#Totals],[Candidate 3]]), 0)</f>
        <v>1.0442537818920749E-2</v>
      </c>
      <c r="S317" s="100">
        <f>IF(AND(SamplingData[[#This Row],[Total]]&lt;&gt; 0, NOT(ISBLANK(SamplingData[[#This Row],[Candidate 4]]))),(SamplingData[[#This Row],[Total]]+SamplingData[[#This Row],[Winning Candidate]]-SamplingData[[#This Row],[Candidate 4]])/(SamplingData[[#Totals],[Winning Candidate]]-SamplingData[[#Totals],[Candidate 4]]), 0)</f>
        <v>0</v>
      </c>
      <c r="T317" s="100">
        <f>IF(AND(SamplingData[[#This Row],[Total]]&lt;&gt; 0, NOT(ISBLANK(SamplingData[[#This Row],[Candidate 5]]))),(SamplingData[[#This Row],[Total]]+SamplingData[[#This Row],[Winning Candidate]]-SamplingData[[#This Row],[Candidate 5]])/(SamplingData[[#Totals],[Winning Candidate]]-SamplingData[[#Totals],[Candidate 5]]), 0)</f>
        <v>0</v>
      </c>
      <c r="U317" s="100">
        <f>IF(AND(SamplingData[[#This Row],[Total]]&lt;&gt; 0, NOT(ISBLANK(SamplingData[[#This Row],[Candidate 6]]))),(SamplingData[[#This Row],[Total]]+SamplingData[[#This Row],[Losing Candidate]]-SamplingData[[#This Row],[Candidate 6]])/(SamplingData[[#Totals],[Winning Candidate]]-SamplingData[[#Totals],[Candidate 6]]), 0)</f>
        <v>0</v>
      </c>
      <c r="V317" s="100">
        <f>IF(AND(SamplingData[[#This Row],[Total]]&lt;&gt; 0, NOT(ISBLANK(SamplingData[[#This Row],[Candidate 7]]))),(SamplingData[[#This Row],[Total]]+SamplingData[[#This Row],[Winning Candidate]]-SamplingData[[#This Row],[Candidate 7]])/(SamplingData[[#Totals],[Winning Candidate]]-SamplingData[[#Totals],[Candidate 7]]), 0)</f>
        <v>0</v>
      </c>
      <c r="W317" s="100">
        <f>IF(AND(SamplingData[[#This Row],[Total]]&lt;&gt; 0, NOT(ISBLANK(SamplingData[[#This Row],[Candidate 8]]))),(SamplingData[[#This Row],[Total]]+SamplingData[[#This Row],[Winning Candidate]]-SamplingData[[#This Row],[Candidate 8]])/(SamplingData[[#Totals],[Winning Candidate]]-SamplingData[[#Totals],[Candidate 8]]), 0)</f>
        <v>0</v>
      </c>
      <c r="X31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7" s="100">
        <f>MAX(SamplingData[[#This Row],[Error Bound (up) - Max. possible relative overstatement - Losing Candidate]:[Error Bound (up) - Max. possible relative overstatement - Candidate 12]])</f>
        <v>1.1061247708741546E-2</v>
      </c>
      <c r="AC317" s="100">
        <f>IF(SamplingData[[#This Row],[Max Error Bound (up)]] = 0,0,SamplingData[[#This Row],[Max Error Bound (up)]]/SamplingData[[#Totals],[Max Error Bound (up)]])</f>
        <v>4.4892687796822582E-3</v>
      </c>
      <c r="AD317" s="104">
        <f>SUM($AC$5:AC317)</f>
        <v>0.76190074629420113</v>
      </c>
      <c r="AE317" s="100" t="str" cm="1">
        <f t="array" ref="AE317">IF(SamplingData[[#This Row],[up/U Selection Probability]] = 0, "Zero", TEXT(SamplingData[[#This Row],[Lower Range]], REPT("0",LEN('General Info'!$B$42))) &amp; " - " &amp; TEXT(SamplingData[[#This Row],[Upper Range]], REPT("0",LEN('General Info'!$B$42))))</f>
        <v>75741 - 76189</v>
      </c>
      <c r="AF317" s="100">
        <f>SamplingData[[#This Row],[Upper Range]]-SamplingData[[#This Row],[Span]]</f>
        <v>75741.147751451877</v>
      </c>
      <c r="AG317" s="100">
        <f>IF(ISNUMBER('General Info'!$B$42), ((SamplingData[[#This Row],[up/U Selection Probability]]) * 'General Info'!$B$44) - 1, 0)</f>
        <v>447.92687796822582</v>
      </c>
      <c r="AH317" s="100">
        <f>IF(ISNUMBER('General Info'!$B$42), (SamplingData[[#This Row],[Running (cumulative) sum]] * ('General Info'!$B$42 -'General Info'!$B$43 + 1)) + 'General Info'!$B$43 - 1, 0)</f>
        <v>76189.074629420109</v>
      </c>
      <c r="AI317" s="100" t="str">
        <f>IF(ISERROR(MATCH(SamplingData[[#This Row],[Batch by Type (p)]],SelectedPrecincts[Batch Name], 0)), "", INDEX(SelectedPrecincts[Draw], MATCH(SamplingData[[#This Row],[Batch by Type (p)]],SelectedPrecincts[Batch Name], 0)))</f>
        <v/>
      </c>
      <c r="AJ317" s="101">
        <f>IF(COUNTIF(SelectedPrecincts[Batch Name],SamplingData[[#This Row],[Batch by Type (p)]]) &lt;&gt; 0, COUNTIF(SelectedPrecincts[Batch Name],SamplingData[[#This Row],[Batch by Type (p)]]), 0)</f>
        <v>0</v>
      </c>
    </row>
    <row r="318" spans="1:36" ht="15" customHeight="1" x14ac:dyDescent="0.35">
      <c r="A318" s="98" t="s">
        <v>529</v>
      </c>
      <c r="B318" s="98">
        <v>19</v>
      </c>
      <c r="C318" s="98">
        <v>12</v>
      </c>
      <c r="D318" s="93">
        <v>2</v>
      </c>
      <c r="E318" s="93"/>
      <c r="F318" s="93"/>
      <c r="G318" s="97"/>
      <c r="H318" s="97"/>
      <c r="I318" s="93"/>
      <c r="J318" s="93"/>
      <c r="K318" s="93"/>
      <c r="L318" s="93"/>
      <c r="M318" s="93"/>
      <c r="N318" s="98">
        <v>0</v>
      </c>
      <c r="O318" s="98">
        <v>0</v>
      </c>
      <c r="P318" s="99">
        <f>SUM(SamplingData[[#This Row],[Winning Candidate]:[Under Votes]])</f>
        <v>33</v>
      </c>
      <c r="Q318" s="100">
        <f>IF(AND(SamplingData[[#This Row],[Total]]&lt;&gt; 0, NOT(ISBLANK(SamplingData[[#This Row],[Losing Candidate]]))),(SamplingData[[#This Row],[Total]]+SamplingData[[#This Row],[Winning Candidate]]-SamplingData[[#This Row],[Losing Candidate]])/(SamplingData[[#Totals],[Winning Candidate]]-SamplingData[[#Totals],[Losing Candidate]]), 0)</f>
        <v>2.5282851905694963E-3</v>
      </c>
      <c r="R318" s="100">
        <f>IF(AND(SamplingData[[#This Row],[Total]]&lt;&gt; 0, NOT(ISBLANK(SamplingData[[#This Row],[Candidate 3]]))),(SamplingData[[#This Row],[Total]]+SamplingData[[#This Row],[Winning Candidate]]-SamplingData[[#This Row],[Candidate 3]])/(SamplingData[[#Totals],[Winning Candidate]]-SamplingData[[#Totals],[Candidate 3]]), 0)</f>
        <v>2.8223075186272297E-3</v>
      </c>
      <c r="S318" s="100">
        <f>IF(AND(SamplingData[[#This Row],[Total]]&lt;&gt; 0, NOT(ISBLANK(SamplingData[[#This Row],[Candidate 4]]))),(SamplingData[[#This Row],[Total]]+SamplingData[[#This Row],[Winning Candidate]]-SamplingData[[#This Row],[Candidate 4]])/(SamplingData[[#Totals],[Winning Candidate]]-SamplingData[[#Totals],[Candidate 4]]), 0)</f>
        <v>0</v>
      </c>
      <c r="T318" s="100">
        <f>IF(AND(SamplingData[[#This Row],[Total]]&lt;&gt; 0, NOT(ISBLANK(SamplingData[[#This Row],[Candidate 5]]))),(SamplingData[[#This Row],[Total]]+SamplingData[[#This Row],[Winning Candidate]]-SamplingData[[#This Row],[Candidate 5]])/(SamplingData[[#Totals],[Winning Candidate]]-SamplingData[[#Totals],[Candidate 5]]), 0)</f>
        <v>0</v>
      </c>
      <c r="U318" s="100">
        <f>IF(AND(SamplingData[[#This Row],[Total]]&lt;&gt; 0, NOT(ISBLANK(SamplingData[[#This Row],[Candidate 6]]))),(SamplingData[[#This Row],[Total]]+SamplingData[[#This Row],[Losing Candidate]]-SamplingData[[#This Row],[Candidate 6]])/(SamplingData[[#Totals],[Winning Candidate]]-SamplingData[[#Totals],[Candidate 6]]), 0)</f>
        <v>0</v>
      </c>
      <c r="V318" s="100">
        <f>IF(AND(SamplingData[[#This Row],[Total]]&lt;&gt; 0, NOT(ISBLANK(SamplingData[[#This Row],[Candidate 7]]))),(SamplingData[[#This Row],[Total]]+SamplingData[[#This Row],[Winning Candidate]]-SamplingData[[#This Row],[Candidate 7]])/(SamplingData[[#Totals],[Winning Candidate]]-SamplingData[[#Totals],[Candidate 7]]), 0)</f>
        <v>0</v>
      </c>
      <c r="W318" s="100">
        <f>IF(AND(SamplingData[[#This Row],[Total]]&lt;&gt; 0, NOT(ISBLANK(SamplingData[[#This Row],[Candidate 8]]))),(SamplingData[[#This Row],[Total]]+SamplingData[[#This Row],[Winning Candidate]]-SamplingData[[#This Row],[Candidate 8]])/(SamplingData[[#Totals],[Winning Candidate]]-SamplingData[[#Totals],[Candidate 8]]), 0)</f>
        <v>0</v>
      </c>
      <c r="X31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8" s="100">
        <f>MAX(SamplingData[[#This Row],[Error Bound (up) - Max. possible relative overstatement - Losing Candidate]:[Error Bound (up) - Max. possible relative overstatement - Candidate 12]])</f>
        <v>2.8223075186272297E-3</v>
      </c>
      <c r="AC318" s="100">
        <f>IF(SamplingData[[#This Row],[Max Error Bound (up)]] = 0,0,SamplingData[[#This Row],[Max Error Bound (up)]]/SamplingData[[#Totals],[Max Error Bound (up)]])</f>
        <v>1.1454491720696868E-3</v>
      </c>
      <c r="AD318" s="104">
        <f>SUM($AC$5:AC318)</f>
        <v>0.76304619546627084</v>
      </c>
      <c r="AE318" s="100" t="str" cm="1">
        <f t="array" ref="AE318">IF(SamplingData[[#This Row],[up/U Selection Probability]] = 0, "Zero", TEXT(SamplingData[[#This Row],[Lower Range]], REPT("0",LEN('General Info'!$B$42))) &amp; " - " &amp; TEXT(SamplingData[[#This Row],[Upper Range]], REPT("0",LEN('General Info'!$B$42))))</f>
        <v>76190 - 76304</v>
      </c>
      <c r="AF318" s="100">
        <f>SamplingData[[#This Row],[Upper Range]]-SamplingData[[#This Row],[Span]]</f>
        <v>76190.074629420124</v>
      </c>
      <c r="AG318" s="100">
        <f>IF(ISNUMBER('General Info'!$B$42), ((SamplingData[[#This Row],[up/U Selection Probability]]) * 'General Info'!$B$44) - 1, 0)</f>
        <v>113.54491720696868</v>
      </c>
      <c r="AH318" s="100">
        <f>IF(ISNUMBER('General Info'!$B$42), (SamplingData[[#This Row],[Running (cumulative) sum]] * ('General Info'!$B$42 -'General Info'!$B$43 + 1)) + 'General Info'!$B$43 - 1, 0)</f>
        <v>76303.619546627087</v>
      </c>
      <c r="AI318" s="100" t="str">
        <f>IF(ISERROR(MATCH(SamplingData[[#This Row],[Batch by Type (p)]],SelectedPrecincts[Batch Name], 0)), "", INDEX(SelectedPrecincts[Draw], MATCH(SamplingData[[#This Row],[Batch by Type (p)]],SelectedPrecincts[Batch Name], 0)))</f>
        <v/>
      </c>
      <c r="AJ318" s="101">
        <f>IF(COUNTIF(SelectedPrecincts[Batch Name],SamplingData[[#This Row],[Batch by Type (p)]]) &lt;&gt; 0, COUNTIF(SelectedPrecincts[Batch Name],SamplingData[[#This Row],[Batch by Type (p)]]), 0)</f>
        <v>0</v>
      </c>
    </row>
    <row r="319" spans="1:36" ht="15" customHeight="1" x14ac:dyDescent="0.35">
      <c r="A319" s="98" t="s">
        <v>530</v>
      </c>
      <c r="B319" s="98">
        <v>18</v>
      </c>
      <c r="C319" s="98">
        <v>0</v>
      </c>
      <c r="D319" s="93">
        <v>1</v>
      </c>
      <c r="E319" s="93"/>
      <c r="F319" s="93"/>
      <c r="G319" s="97"/>
      <c r="H319" s="97"/>
      <c r="I319" s="93"/>
      <c r="J319" s="93"/>
      <c r="K319" s="93"/>
      <c r="L319" s="93"/>
      <c r="M319" s="93"/>
      <c r="N319" s="98">
        <v>0</v>
      </c>
      <c r="O319" s="98">
        <v>1</v>
      </c>
      <c r="P319" s="99">
        <f>SUM(SamplingData[[#This Row],[Winning Candidate]:[Under Votes]])</f>
        <v>20</v>
      </c>
      <c r="Q319" s="100">
        <f>IF(AND(SamplingData[[#This Row],[Total]]&lt;&gt; 0, NOT(ISBLANK(SamplingData[[#This Row],[Losing Candidate]]))),(SamplingData[[#This Row],[Total]]+SamplingData[[#This Row],[Winning Candidate]]-SamplingData[[#This Row],[Losing Candidate]])/(SamplingData[[#Totals],[Winning Candidate]]-SamplingData[[#Totals],[Losing Candidate]]), 0)</f>
        <v>2.4018709310410216E-3</v>
      </c>
      <c r="R319" s="100">
        <f>IF(AND(SamplingData[[#This Row],[Total]]&lt;&gt; 0, NOT(ISBLANK(SamplingData[[#This Row],[Candidate 3]]))),(SamplingData[[#This Row],[Total]]+SamplingData[[#This Row],[Winning Candidate]]-SamplingData[[#This Row],[Candidate 3]])/(SamplingData[[#Totals],[Winning Candidate]]-SamplingData[[#Totals],[Candidate 3]]), 0)</f>
        <v>2.0885075637841499E-3</v>
      </c>
      <c r="S319" s="100">
        <f>IF(AND(SamplingData[[#This Row],[Total]]&lt;&gt; 0, NOT(ISBLANK(SamplingData[[#This Row],[Candidate 4]]))),(SamplingData[[#This Row],[Total]]+SamplingData[[#This Row],[Winning Candidate]]-SamplingData[[#This Row],[Candidate 4]])/(SamplingData[[#Totals],[Winning Candidate]]-SamplingData[[#Totals],[Candidate 4]]), 0)</f>
        <v>0</v>
      </c>
      <c r="T319" s="100">
        <f>IF(AND(SamplingData[[#This Row],[Total]]&lt;&gt; 0, NOT(ISBLANK(SamplingData[[#This Row],[Candidate 5]]))),(SamplingData[[#This Row],[Total]]+SamplingData[[#This Row],[Winning Candidate]]-SamplingData[[#This Row],[Candidate 5]])/(SamplingData[[#Totals],[Winning Candidate]]-SamplingData[[#Totals],[Candidate 5]]), 0)</f>
        <v>0</v>
      </c>
      <c r="U319" s="100">
        <f>IF(AND(SamplingData[[#This Row],[Total]]&lt;&gt; 0, NOT(ISBLANK(SamplingData[[#This Row],[Candidate 6]]))),(SamplingData[[#This Row],[Total]]+SamplingData[[#This Row],[Losing Candidate]]-SamplingData[[#This Row],[Candidate 6]])/(SamplingData[[#Totals],[Winning Candidate]]-SamplingData[[#Totals],[Candidate 6]]), 0)</f>
        <v>0</v>
      </c>
      <c r="V319" s="100">
        <f>IF(AND(SamplingData[[#This Row],[Total]]&lt;&gt; 0, NOT(ISBLANK(SamplingData[[#This Row],[Candidate 7]]))),(SamplingData[[#This Row],[Total]]+SamplingData[[#This Row],[Winning Candidate]]-SamplingData[[#This Row],[Candidate 7]])/(SamplingData[[#Totals],[Winning Candidate]]-SamplingData[[#Totals],[Candidate 7]]), 0)</f>
        <v>0</v>
      </c>
      <c r="W319" s="100">
        <f>IF(AND(SamplingData[[#This Row],[Total]]&lt;&gt; 0, NOT(ISBLANK(SamplingData[[#This Row],[Candidate 8]]))),(SamplingData[[#This Row],[Total]]+SamplingData[[#This Row],[Winning Candidate]]-SamplingData[[#This Row],[Candidate 8]])/(SamplingData[[#Totals],[Winning Candidate]]-SamplingData[[#Totals],[Candidate 8]]), 0)</f>
        <v>0</v>
      </c>
      <c r="X31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9" s="100">
        <f>MAX(SamplingData[[#This Row],[Error Bound (up) - Max. possible relative overstatement - Losing Candidate]:[Error Bound (up) - Max. possible relative overstatement - Candidate 12]])</f>
        <v>2.4018709310410216E-3</v>
      </c>
      <c r="AC319" s="100">
        <f>IF(SamplingData[[#This Row],[Max Error Bound (up)]] = 0,0,SamplingData[[#This Row],[Max Error Bound (up)]]/SamplingData[[#Totals],[Max Error Bound (up)]])</f>
        <v>9.7481264930243325E-4</v>
      </c>
      <c r="AD319" s="104">
        <f>SUM($AC$5:AC319)</f>
        <v>0.76402100811557327</v>
      </c>
      <c r="AE319" s="100" t="str" cm="1">
        <f t="array" ref="AE319">IF(SamplingData[[#This Row],[up/U Selection Probability]] = 0, "Zero", TEXT(SamplingData[[#This Row],[Lower Range]], REPT("0",LEN('General Info'!$B$42))) &amp; " - " &amp; TEXT(SamplingData[[#This Row],[Upper Range]], REPT("0",LEN('General Info'!$B$42))))</f>
        <v>76305 - 76401</v>
      </c>
      <c r="AF319" s="100">
        <f>SamplingData[[#This Row],[Upper Range]]-SamplingData[[#This Row],[Span]]</f>
        <v>76304.619546627073</v>
      </c>
      <c r="AG319" s="100">
        <f>IF(ISNUMBER('General Info'!$B$42), ((SamplingData[[#This Row],[up/U Selection Probability]]) * 'General Info'!$B$44) - 1, 0)</f>
        <v>96.481264930243327</v>
      </c>
      <c r="AH319" s="100">
        <f>IF(ISNUMBER('General Info'!$B$42), (SamplingData[[#This Row],[Running (cumulative) sum]] * ('General Info'!$B$42 -'General Info'!$B$43 + 1)) + 'General Info'!$B$43 - 1, 0)</f>
        <v>76401.10081155732</v>
      </c>
      <c r="AI319" s="100">
        <f>IF(ISERROR(MATCH(SamplingData[[#This Row],[Batch by Type (p)]],SelectedPrecincts[Batch Name], 0)), "", INDEX(SelectedPrecincts[Draw], MATCH(SamplingData[[#This Row],[Batch by Type (p)]],SelectedPrecincts[Batch Name], 0)))</f>
        <v>4</v>
      </c>
      <c r="AJ319" s="101">
        <f>IF(COUNTIF(SelectedPrecincts[Batch Name],SamplingData[[#This Row],[Batch by Type (p)]]) &lt;&gt; 0, COUNTIF(SelectedPrecincts[Batch Name],SamplingData[[#This Row],[Batch by Type (p)]]), 0)</f>
        <v>1</v>
      </c>
    </row>
    <row r="320" spans="1:36" ht="15" customHeight="1" x14ac:dyDescent="0.35">
      <c r="A320" s="98" t="s">
        <v>531</v>
      </c>
      <c r="B320" s="98">
        <v>14</v>
      </c>
      <c r="C320" s="98">
        <v>3</v>
      </c>
      <c r="D320" s="93">
        <v>1</v>
      </c>
      <c r="E320" s="93"/>
      <c r="F320" s="93"/>
      <c r="G320" s="97"/>
      <c r="H320" s="97"/>
      <c r="I320" s="93"/>
      <c r="J320" s="93"/>
      <c r="K320" s="93"/>
      <c r="L320" s="93"/>
      <c r="M320" s="93"/>
      <c r="N320" s="98">
        <v>0</v>
      </c>
      <c r="O320" s="98">
        <v>0</v>
      </c>
      <c r="P320" s="99">
        <f>SUM(SamplingData[[#This Row],[Winning Candidate]:[Under Votes]])</f>
        <v>18</v>
      </c>
      <c r="Q320"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320" s="100">
        <f>IF(AND(SamplingData[[#This Row],[Total]]&lt;&gt; 0, NOT(ISBLANK(SamplingData[[#This Row],[Candidate 3]]))),(SamplingData[[#This Row],[Total]]+SamplingData[[#This Row],[Winning Candidate]]-SamplingData[[#This Row],[Candidate 3]])/(SamplingData[[#Totals],[Winning Candidate]]-SamplingData[[#Totals],[Candidate 3]]), 0)</f>
        <v>1.7498306615488823E-3</v>
      </c>
      <c r="S320" s="100">
        <f>IF(AND(SamplingData[[#This Row],[Total]]&lt;&gt; 0, NOT(ISBLANK(SamplingData[[#This Row],[Candidate 4]]))),(SamplingData[[#This Row],[Total]]+SamplingData[[#This Row],[Winning Candidate]]-SamplingData[[#This Row],[Candidate 4]])/(SamplingData[[#Totals],[Winning Candidate]]-SamplingData[[#Totals],[Candidate 4]]), 0)</f>
        <v>0</v>
      </c>
      <c r="T320" s="100">
        <f>IF(AND(SamplingData[[#This Row],[Total]]&lt;&gt; 0, NOT(ISBLANK(SamplingData[[#This Row],[Candidate 5]]))),(SamplingData[[#This Row],[Total]]+SamplingData[[#This Row],[Winning Candidate]]-SamplingData[[#This Row],[Candidate 5]])/(SamplingData[[#Totals],[Winning Candidate]]-SamplingData[[#Totals],[Candidate 5]]), 0)</f>
        <v>0</v>
      </c>
      <c r="U320" s="100">
        <f>IF(AND(SamplingData[[#This Row],[Total]]&lt;&gt; 0, NOT(ISBLANK(SamplingData[[#This Row],[Candidate 6]]))),(SamplingData[[#This Row],[Total]]+SamplingData[[#This Row],[Losing Candidate]]-SamplingData[[#This Row],[Candidate 6]])/(SamplingData[[#Totals],[Winning Candidate]]-SamplingData[[#Totals],[Candidate 6]]), 0)</f>
        <v>0</v>
      </c>
      <c r="V320" s="100">
        <f>IF(AND(SamplingData[[#This Row],[Total]]&lt;&gt; 0, NOT(ISBLANK(SamplingData[[#This Row],[Candidate 7]]))),(SamplingData[[#This Row],[Total]]+SamplingData[[#This Row],[Winning Candidate]]-SamplingData[[#This Row],[Candidate 7]])/(SamplingData[[#Totals],[Winning Candidate]]-SamplingData[[#Totals],[Candidate 7]]), 0)</f>
        <v>0</v>
      </c>
      <c r="W320" s="100">
        <f>IF(AND(SamplingData[[#This Row],[Total]]&lt;&gt; 0, NOT(ISBLANK(SamplingData[[#This Row],[Candidate 8]]))),(SamplingData[[#This Row],[Total]]+SamplingData[[#This Row],[Winning Candidate]]-SamplingData[[#This Row],[Candidate 8]])/(SamplingData[[#Totals],[Winning Candidate]]-SamplingData[[#Totals],[Candidate 8]]), 0)</f>
        <v>0</v>
      </c>
      <c r="X32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0" s="100">
        <f>MAX(SamplingData[[#This Row],[Error Bound (up) - Max. possible relative overstatement - Losing Candidate]:[Error Bound (up) - Max. possible relative overstatement - Candidate 12]])</f>
        <v>1.8330067631628848E-3</v>
      </c>
      <c r="AC320" s="100">
        <f>IF(SamplingData[[#This Row],[Max Error Bound (up)]] = 0,0,SamplingData[[#This Row],[Max Error Bound (up)]]/SamplingData[[#Totals],[Max Error Bound (up)]])</f>
        <v>7.4393596920448851E-4</v>
      </c>
      <c r="AD320" s="104">
        <f>SUM($AC$5:AC320)</f>
        <v>0.7647649440847778</v>
      </c>
      <c r="AE320" s="100" t="str" cm="1">
        <f t="array" ref="AE320">IF(SamplingData[[#This Row],[up/U Selection Probability]] = 0, "Zero", TEXT(SamplingData[[#This Row],[Lower Range]], REPT("0",LEN('General Info'!$B$42))) &amp; " - " &amp; TEXT(SamplingData[[#This Row],[Upper Range]], REPT("0",LEN('General Info'!$B$42))))</f>
        <v>76402 - 76475</v>
      </c>
      <c r="AF320" s="100">
        <f>SamplingData[[#This Row],[Upper Range]]-SamplingData[[#This Row],[Span]]</f>
        <v>76402.100811557335</v>
      </c>
      <c r="AG320" s="100">
        <f>IF(ISNUMBER('General Info'!$B$42), ((SamplingData[[#This Row],[up/U Selection Probability]]) * 'General Info'!$B$44) - 1, 0)</f>
        <v>73.393596920448857</v>
      </c>
      <c r="AH320" s="100">
        <f>IF(ISNUMBER('General Info'!$B$42), (SamplingData[[#This Row],[Running (cumulative) sum]] * ('General Info'!$B$42 -'General Info'!$B$43 + 1)) + 'General Info'!$B$43 - 1, 0)</f>
        <v>76475.494408477782</v>
      </c>
      <c r="AI320" s="100" t="str">
        <f>IF(ISERROR(MATCH(SamplingData[[#This Row],[Batch by Type (p)]],SelectedPrecincts[Batch Name], 0)), "", INDEX(SelectedPrecincts[Draw], MATCH(SamplingData[[#This Row],[Batch by Type (p)]],SelectedPrecincts[Batch Name], 0)))</f>
        <v/>
      </c>
      <c r="AJ320" s="101">
        <f>IF(COUNTIF(SelectedPrecincts[Batch Name],SamplingData[[#This Row],[Batch by Type (p)]]) &lt;&gt; 0, COUNTIF(SelectedPrecincts[Batch Name],SamplingData[[#This Row],[Batch by Type (p)]]), 0)</f>
        <v>0</v>
      </c>
    </row>
    <row r="321" spans="1:36" ht="15" customHeight="1" x14ac:dyDescent="0.35">
      <c r="A321" s="98" t="s">
        <v>532</v>
      </c>
      <c r="B321" s="98">
        <v>27</v>
      </c>
      <c r="C321" s="98">
        <v>8</v>
      </c>
      <c r="D321" s="93">
        <v>0</v>
      </c>
      <c r="E321" s="93"/>
      <c r="F321" s="93"/>
      <c r="G321" s="97"/>
      <c r="H321" s="97"/>
      <c r="I321" s="93"/>
      <c r="J321" s="93"/>
      <c r="K321" s="93"/>
      <c r="L321" s="93"/>
      <c r="M321" s="93"/>
      <c r="N321" s="98">
        <v>0</v>
      </c>
      <c r="O321" s="98">
        <v>0</v>
      </c>
      <c r="P321" s="99">
        <f>SUM(SamplingData[[#This Row],[Winning Candidate]:[Under Votes]])</f>
        <v>35</v>
      </c>
      <c r="Q321" s="100">
        <f>IF(AND(SamplingData[[#This Row],[Total]]&lt;&gt; 0, NOT(ISBLANK(SamplingData[[#This Row],[Losing Candidate]]))),(SamplingData[[#This Row],[Total]]+SamplingData[[#This Row],[Winning Candidate]]-SamplingData[[#This Row],[Losing Candidate]])/(SamplingData[[#Totals],[Winning Candidate]]-SamplingData[[#Totals],[Losing Candidate]]), 0)</f>
        <v>3.4131850072688201E-3</v>
      </c>
      <c r="R321" s="100">
        <f>IF(AND(SamplingData[[#This Row],[Total]]&lt;&gt; 0, NOT(ISBLANK(SamplingData[[#This Row],[Candidate 3]]))),(SamplingData[[#This Row],[Total]]+SamplingData[[#This Row],[Winning Candidate]]-SamplingData[[#This Row],[Candidate 3]])/(SamplingData[[#Totals],[Winning Candidate]]-SamplingData[[#Totals],[Candidate 3]]), 0)</f>
        <v>3.4996613230977645E-3</v>
      </c>
      <c r="S321" s="100">
        <f>IF(AND(SamplingData[[#This Row],[Total]]&lt;&gt; 0, NOT(ISBLANK(SamplingData[[#This Row],[Candidate 4]]))),(SamplingData[[#This Row],[Total]]+SamplingData[[#This Row],[Winning Candidate]]-SamplingData[[#This Row],[Candidate 4]])/(SamplingData[[#Totals],[Winning Candidate]]-SamplingData[[#Totals],[Candidate 4]]), 0)</f>
        <v>0</v>
      </c>
      <c r="T321" s="100">
        <f>IF(AND(SamplingData[[#This Row],[Total]]&lt;&gt; 0, NOT(ISBLANK(SamplingData[[#This Row],[Candidate 5]]))),(SamplingData[[#This Row],[Total]]+SamplingData[[#This Row],[Winning Candidate]]-SamplingData[[#This Row],[Candidate 5]])/(SamplingData[[#Totals],[Winning Candidate]]-SamplingData[[#Totals],[Candidate 5]]), 0)</f>
        <v>0</v>
      </c>
      <c r="U321" s="100">
        <f>IF(AND(SamplingData[[#This Row],[Total]]&lt;&gt; 0, NOT(ISBLANK(SamplingData[[#This Row],[Candidate 6]]))),(SamplingData[[#This Row],[Total]]+SamplingData[[#This Row],[Losing Candidate]]-SamplingData[[#This Row],[Candidate 6]])/(SamplingData[[#Totals],[Winning Candidate]]-SamplingData[[#Totals],[Candidate 6]]), 0)</f>
        <v>0</v>
      </c>
      <c r="V321" s="100">
        <f>IF(AND(SamplingData[[#This Row],[Total]]&lt;&gt; 0, NOT(ISBLANK(SamplingData[[#This Row],[Candidate 7]]))),(SamplingData[[#This Row],[Total]]+SamplingData[[#This Row],[Winning Candidate]]-SamplingData[[#This Row],[Candidate 7]])/(SamplingData[[#Totals],[Winning Candidate]]-SamplingData[[#Totals],[Candidate 7]]), 0)</f>
        <v>0</v>
      </c>
      <c r="W321" s="100">
        <f>IF(AND(SamplingData[[#This Row],[Total]]&lt;&gt; 0, NOT(ISBLANK(SamplingData[[#This Row],[Candidate 8]]))),(SamplingData[[#This Row],[Total]]+SamplingData[[#This Row],[Winning Candidate]]-SamplingData[[#This Row],[Candidate 8]])/(SamplingData[[#Totals],[Winning Candidate]]-SamplingData[[#Totals],[Candidate 8]]), 0)</f>
        <v>0</v>
      </c>
      <c r="X32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1" s="100">
        <f>MAX(SamplingData[[#This Row],[Error Bound (up) - Max. possible relative overstatement - Losing Candidate]:[Error Bound (up) - Max. possible relative overstatement - Candidate 12]])</f>
        <v>3.4996613230977645E-3</v>
      </c>
      <c r="AC321" s="100">
        <f>IF(SamplingData[[#This Row],[Max Error Bound (up)]] = 0,0,SamplingData[[#This Row],[Max Error Bound (up)]]/SamplingData[[#Totals],[Max Error Bound (up)]])</f>
        <v>1.4203569733664116E-3</v>
      </c>
      <c r="AD321" s="104">
        <f>SUM($AC$5:AC321)</f>
        <v>0.7661853010581442</v>
      </c>
      <c r="AE321" s="100" t="str" cm="1">
        <f t="array" ref="AE321">IF(SamplingData[[#This Row],[up/U Selection Probability]] = 0, "Zero", TEXT(SamplingData[[#This Row],[Lower Range]], REPT("0",LEN('General Info'!$B$42))) &amp; " - " &amp; TEXT(SamplingData[[#This Row],[Upper Range]], REPT("0",LEN('General Info'!$B$42))))</f>
        <v>76476 - 76618</v>
      </c>
      <c r="AF321" s="100">
        <f>SamplingData[[#This Row],[Upper Range]]-SamplingData[[#This Row],[Span]]</f>
        <v>76476.494408477782</v>
      </c>
      <c r="AG321" s="100">
        <f>IF(ISNUMBER('General Info'!$B$42), ((SamplingData[[#This Row],[up/U Selection Probability]]) * 'General Info'!$B$44) - 1, 0)</f>
        <v>141.03569733664116</v>
      </c>
      <c r="AH321" s="100">
        <f>IF(ISNUMBER('General Info'!$B$42), (SamplingData[[#This Row],[Running (cumulative) sum]] * ('General Info'!$B$42 -'General Info'!$B$43 + 1)) + 'General Info'!$B$43 - 1, 0)</f>
        <v>76617.530105814425</v>
      </c>
      <c r="AI321" s="100" t="str">
        <f>IF(ISERROR(MATCH(SamplingData[[#This Row],[Batch by Type (p)]],SelectedPrecincts[Batch Name], 0)), "", INDEX(SelectedPrecincts[Draw], MATCH(SamplingData[[#This Row],[Batch by Type (p)]],SelectedPrecincts[Batch Name], 0)))</f>
        <v/>
      </c>
      <c r="AJ321" s="101">
        <f>IF(COUNTIF(SelectedPrecincts[Batch Name],SamplingData[[#This Row],[Batch by Type (p)]]) &lt;&gt; 0, COUNTIF(SelectedPrecincts[Batch Name],SamplingData[[#This Row],[Batch by Type (p)]]), 0)</f>
        <v>0</v>
      </c>
    </row>
    <row r="322" spans="1:36" ht="15" customHeight="1" x14ac:dyDescent="0.35">
      <c r="A322" s="98" t="s">
        <v>533</v>
      </c>
      <c r="B322" s="98">
        <v>22</v>
      </c>
      <c r="C322" s="98">
        <v>9</v>
      </c>
      <c r="D322" s="93">
        <v>1</v>
      </c>
      <c r="E322" s="93"/>
      <c r="F322" s="93"/>
      <c r="G322" s="97"/>
      <c r="H322" s="97"/>
      <c r="I322" s="93"/>
      <c r="J322" s="93"/>
      <c r="K322" s="93"/>
      <c r="L322" s="93"/>
      <c r="M322" s="93"/>
      <c r="N322" s="98">
        <v>0</v>
      </c>
      <c r="O322" s="98">
        <v>0</v>
      </c>
      <c r="P322" s="99">
        <f>SUM(SamplingData[[#This Row],[Winning Candidate]:[Under Votes]])</f>
        <v>32</v>
      </c>
      <c r="Q322" s="100">
        <f>IF(AND(SamplingData[[#This Row],[Total]]&lt;&gt; 0, NOT(ISBLANK(SamplingData[[#This Row],[Losing Candidate]]))),(SamplingData[[#This Row],[Total]]+SamplingData[[#This Row],[Winning Candidate]]-SamplingData[[#This Row],[Losing Candidate]])/(SamplingData[[#Totals],[Winning Candidate]]-SamplingData[[#Totals],[Losing Candidate]]), 0)</f>
        <v>2.8443208393906833E-3</v>
      </c>
      <c r="R322" s="100">
        <f>IF(AND(SamplingData[[#This Row],[Total]]&lt;&gt; 0, NOT(ISBLANK(SamplingData[[#This Row],[Candidate 3]]))),(SamplingData[[#This Row],[Total]]+SamplingData[[#This Row],[Winning Candidate]]-SamplingData[[#This Row],[Candidate 3]])/(SamplingData[[#Totals],[Winning Candidate]]-SamplingData[[#Totals],[Candidate 3]]), 0)</f>
        <v>2.9916459697448632E-3</v>
      </c>
      <c r="S322" s="100">
        <f>IF(AND(SamplingData[[#This Row],[Total]]&lt;&gt; 0, NOT(ISBLANK(SamplingData[[#This Row],[Candidate 4]]))),(SamplingData[[#This Row],[Total]]+SamplingData[[#This Row],[Winning Candidate]]-SamplingData[[#This Row],[Candidate 4]])/(SamplingData[[#Totals],[Winning Candidate]]-SamplingData[[#Totals],[Candidate 4]]), 0)</f>
        <v>0</v>
      </c>
      <c r="T322" s="100">
        <f>IF(AND(SamplingData[[#This Row],[Total]]&lt;&gt; 0, NOT(ISBLANK(SamplingData[[#This Row],[Candidate 5]]))),(SamplingData[[#This Row],[Total]]+SamplingData[[#This Row],[Winning Candidate]]-SamplingData[[#This Row],[Candidate 5]])/(SamplingData[[#Totals],[Winning Candidate]]-SamplingData[[#Totals],[Candidate 5]]), 0)</f>
        <v>0</v>
      </c>
      <c r="U322" s="100">
        <f>IF(AND(SamplingData[[#This Row],[Total]]&lt;&gt; 0, NOT(ISBLANK(SamplingData[[#This Row],[Candidate 6]]))),(SamplingData[[#This Row],[Total]]+SamplingData[[#This Row],[Losing Candidate]]-SamplingData[[#This Row],[Candidate 6]])/(SamplingData[[#Totals],[Winning Candidate]]-SamplingData[[#Totals],[Candidate 6]]), 0)</f>
        <v>0</v>
      </c>
      <c r="V322" s="100">
        <f>IF(AND(SamplingData[[#This Row],[Total]]&lt;&gt; 0, NOT(ISBLANK(SamplingData[[#This Row],[Candidate 7]]))),(SamplingData[[#This Row],[Total]]+SamplingData[[#This Row],[Winning Candidate]]-SamplingData[[#This Row],[Candidate 7]])/(SamplingData[[#Totals],[Winning Candidate]]-SamplingData[[#Totals],[Candidate 7]]), 0)</f>
        <v>0</v>
      </c>
      <c r="W322" s="100">
        <f>IF(AND(SamplingData[[#This Row],[Total]]&lt;&gt; 0, NOT(ISBLANK(SamplingData[[#This Row],[Candidate 8]]))),(SamplingData[[#This Row],[Total]]+SamplingData[[#This Row],[Winning Candidate]]-SamplingData[[#This Row],[Candidate 8]])/(SamplingData[[#Totals],[Winning Candidate]]-SamplingData[[#Totals],[Candidate 8]]), 0)</f>
        <v>0</v>
      </c>
      <c r="X32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2" s="100">
        <f>MAX(SamplingData[[#This Row],[Error Bound (up) - Max. possible relative overstatement - Losing Candidate]:[Error Bound (up) - Max. possible relative overstatement - Candidate 12]])</f>
        <v>2.9916459697448632E-3</v>
      </c>
      <c r="AC322" s="100">
        <f>IF(SamplingData[[#This Row],[Max Error Bound (up)]] = 0,0,SamplingData[[#This Row],[Max Error Bound (up)]]/SamplingData[[#Totals],[Max Error Bound (up)]])</f>
        <v>1.214176122393868E-3</v>
      </c>
      <c r="AD322" s="104">
        <f>SUM($AC$5:AC322)</f>
        <v>0.76739947718053803</v>
      </c>
      <c r="AE322" s="100" t="str" cm="1">
        <f t="array" ref="AE322">IF(SamplingData[[#This Row],[up/U Selection Probability]] = 0, "Zero", TEXT(SamplingData[[#This Row],[Lower Range]], REPT("0",LEN('General Info'!$B$42))) &amp; " - " &amp; TEXT(SamplingData[[#This Row],[Upper Range]], REPT("0",LEN('General Info'!$B$42))))</f>
        <v>76619 - 76739</v>
      </c>
      <c r="AF322" s="100">
        <f>SamplingData[[#This Row],[Upper Range]]-SamplingData[[#This Row],[Span]]</f>
        <v>76618.530105814425</v>
      </c>
      <c r="AG322" s="100">
        <f>IF(ISNUMBER('General Info'!$B$42), ((SamplingData[[#This Row],[up/U Selection Probability]]) * 'General Info'!$B$44) - 1, 0)</f>
        <v>120.4176122393868</v>
      </c>
      <c r="AH322" s="100">
        <f>IF(ISNUMBER('General Info'!$B$42), (SamplingData[[#This Row],[Running (cumulative) sum]] * ('General Info'!$B$42 -'General Info'!$B$43 + 1)) + 'General Info'!$B$43 - 1, 0)</f>
        <v>76738.947718053809</v>
      </c>
      <c r="AI322" s="100" t="str">
        <f>IF(ISERROR(MATCH(SamplingData[[#This Row],[Batch by Type (p)]],SelectedPrecincts[Batch Name], 0)), "", INDEX(SelectedPrecincts[Draw], MATCH(SamplingData[[#This Row],[Batch by Type (p)]],SelectedPrecincts[Batch Name], 0)))</f>
        <v/>
      </c>
      <c r="AJ322" s="101">
        <f>IF(COUNTIF(SelectedPrecincts[Batch Name],SamplingData[[#This Row],[Batch by Type (p)]]) &lt;&gt; 0, COUNTIF(SelectedPrecincts[Batch Name],SamplingData[[#This Row],[Batch by Type (p)]]), 0)</f>
        <v>0</v>
      </c>
    </row>
    <row r="323" spans="1:36" ht="15" customHeight="1" x14ac:dyDescent="0.35">
      <c r="A323" s="98" t="s">
        <v>534</v>
      </c>
      <c r="B323" s="98">
        <v>13</v>
      </c>
      <c r="C323" s="98">
        <v>1</v>
      </c>
      <c r="D323" s="93">
        <v>3</v>
      </c>
      <c r="E323" s="93"/>
      <c r="F323" s="93"/>
      <c r="G323" s="97"/>
      <c r="H323" s="97"/>
      <c r="I323" s="93"/>
      <c r="J323" s="93"/>
      <c r="K323" s="93"/>
      <c r="L323" s="93"/>
      <c r="M323" s="93"/>
      <c r="N323" s="98">
        <v>0</v>
      </c>
      <c r="O323" s="98">
        <v>0</v>
      </c>
      <c r="P323" s="99">
        <f>SUM(SamplingData[[#This Row],[Winning Candidate]:[Under Votes]])</f>
        <v>17</v>
      </c>
      <c r="Q323" s="100">
        <f>IF(AND(SamplingData[[#This Row],[Total]]&lt;&gt; 0, NOT(ISBLANK(SamplingData[[#This Row],[Losing Candidate]]))),(SamplingData[[#This Row],[Total]]+SamplingData[[#This Row],[Winning Candidate]]-SamplingData[[#This Row],[Losing Candidate]])/(SamplingData[[#Totals],[Winning Candidate]]-SamplingData[[#Totals],[Losing Candidate]]), 0)</f>
        <v>1.8330067631628848E-3</v>
      </c>
      <c r="R323" s="100">
        <f>IF(AND(SamplingData[[#This Row],[Total]]&lt;&gt; 0, NOT(ISBLANK(SamplingData[[#This Row],[Candidate 3]]))),(SamplingData[[#This Row],[Total]]+SamplingData[[#This Row],[Winning Candidate]]-SamplingData[[#This Row],[Candidate 3]])/(SamplingData[[#Totals],[Winning Candidate]]-SamplingData[[#Totals],[Candidate 3]]), 0)</f>
        <v>1.5240460600587039E-3</v>
      </c>
      <c r="S323" s="100">
        <f>IF(AND(SamplingData[[#This Row],[Total]]&lt;&gt; 0, NOT(ISBLANK(SamplingData[[#This Row],[Candidate 4]]))),(SamplingData[[#This Row],[Total]]+SamplingData[[#This Row],[Winning Candidate]]-SamplingData[[#This Row],[Candidate 4]])/(SamplingData[[#Totals],[Winning Candidate]]-SamplingData[[#Totals],[Candidate 4]]), 0)</f>
        <v>0</v>
      </c>
      <c r="T323" s="100">
        <f>IF(AND(SamplingData[[#This Row],[Total]]&lt;&gt; 0, NOT(ISBLANK(SamplingData[[#This Row],[Candidate 5]]))),(SamplingData[[#This Row],[Total]]+SamplingData[[#This Row],[Winning Candidate]]-SamplingData[[#This Row],[Candidate 5]])/(SamplingData[[#Totals],[Winning Candidate]]-SamplingData[[#Totals],[Candidate 5]]), 0)</f>
        <v>0</v>
      </c>
      <c r="U323" s="100">
        <f>IF(AND(SamplingData[[#This Row],[Total]]&lt;&gt; 0, NOT(ISBLANK(SamplingData[[#This Row],[Candidate 6]]))),(SamplingData[[#This Row],[Total]]+SamplingData[[#This Row],[Losing Candidate]]-SamplingData[[#This Row],[Candidate 6]])/(SamplingData[[#Totals],[Winning Candidate]]-SamplingData[[#Totals],[Candidate 6]]), 0)</f>
        <v>0</v>
      </c>
      <c r="V323" s="100">
        <f>IF(AND(SamplingData[[#This Row],[Total]]&lt;&gt; 0, NOT(ISBLANK(SamplingData[[#This Row],[Candidate 7]]))),(SamplingData[[#This Row],[Total]]+SamplingData[[#This Row],[Winning Candidate]]-SamplingData[[#This Row],[Candidate 7]])/(SamplingData[[#Totals],[Winning Candidate]]-SamplingData[[#Totals],[Candidate 7]]), 0)</f>
        <v>0</v>
      </c>
      <c r="W323" s="100">
        <f>IF(AND(SamplingData[[#This Row],[Total]]&lt;&gt; 0, NOT(ISBLANK(SamplingData[[#This Row],[Candidate 8]]))),(SamplingData[[#This Row],[Total]]+SamplingData[[#This Row],[Winning Candidate]]-SamplingData[[#This Row],[Candidate 8]])/(SamplingData[[#Totals],[Winning Candidate]]-SamplingData[[#Totals],[Candidate 8]]), 0)</f>
        <v>0</v>
      </c>
      <c r="X32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3" s="100">
        <f>MAX(SamplingData[[#This Row],[Error Bound (up) - Max. possible relative overstatement - Losing Candidate]:[Error Bound (up) - Max. possible relative overstatement - Candidate 12]])</f>
        <v>1.8330067631628848E-3</v>
      </c>
      <c r="AC323" s="100">
        <f>IF(SamplingData[[#This Row],[Max Error Bound (up)]] = 0,0,SamplingData[[#This Row],[Max Error Bound (up)]]/SamplingData[[#Totals],[Max Error Bound (up)]])</f>
        <v>7.4393596920448851E-4</v>
      </c>
      <c r="AD323" s="104">
        <f>SUM($AC$5:AC323)</f>
        <v>0.76814341314974255</v>
      </c>
      <c r="AE323" s="100" t="str" cm="1">
        <f t="array" ref="AE323">IF(SamplingData[[#This Row],[up/U Selection Probability]] = 0, "Zero", TEXT(SamplingData[[#This Row],[Lower Range]], REPT("0",LEN('General Info'!$B$42))) &amp; " - " &amp; TEXT(SamplingData[[#This Row],[Upper Range]], REPT("0",LEN('General Info'!$B$42))))</f>
        <v>76740 - 76813</v>
      </c>
      <c r="AF323" s="100">
        <f>SamplingData[[#This Row],[Upper Range]]-SamplingData[[#This Row],[Span]]</f>
        <v>76739.947718053809</v>
      </c>
      <c r="AG323" s="100">
        <f>IF(ISNUMBER('General Info'!$B$42), ((SamplingData[[#This Row],[up/U Selection Probability]]) * 'General Info'!$B$44) - 1, 0)</f>
        <v>73.393596920448857</v>
      </c>
      <c r="AH323" s="100">
        <f>IF(ISNUMBER('General Info'!$B$42), (SamplingData[[#This Row],[Running (cumulative) sum]] * ('General Info'!$B$42 -'General Info'!$B$43 + 1)) + 'General Info'!$B$43 - 1, 0)</f>
        <v>76813.341314974256</v>
      </c>
      <c r="AI323" s="100" t="str">
        <f>IF(ISERROR(MATCH(SamplingData[[#This Row],[Batch by Type (p)]],SelectedPrecincts[Batch Name], 0)), "", INDEX(SelectedPrecincts[Draw], MATCH(SamplingData[[#This Row],[Batch by Type (p)]],SelectedPrecincts[Batch Name], 0)))</f>
        <v/>
      </c>
      <c r="AJ323" s="101">
        <f>IF(COUNTIF(SelectedPrecincts[Batch Name],SamplingData[[#This Row],[Batch by Type (p)]]) &lt;&gt; 0, COUNTIF(SelectedPrecincts[Batch Name],SamplingData[[#This Row],[Batch by Type (p)]]), 0)</f>
        <v>0</v>
      </c>
    </row>
    <row r="324" spans="1:36" ht="15" customHeight="1" x14ac:dyDescent="0.35">
      <c r="A324" s="98" t="s">
        <v>535</v>
      </c>
      <c r="B324" s="98">
        <v>161</v>
      </c>
      <c r="C324" s="98">
        <v>11</v>
      </c>
      <c r="D324" s="93">
        <v>5</v>
      </c>
      <c r="E324" s="93"/>
      <c r="F324" s="93"/>
      <c r="G324" s="97"/>
      <c r="H324" s="97"/>
      <c r="I324" s="93"/>
      <c r="J324" s="93"/>
      <c r="K324" s="93"/>
      <c r="L324" s="93"/>
      <c r="M324" s="93"/>
      <c r="N324" s="98">
        <v>0</v>
      </c>
      <c r="O324" s="98">
        <v>2</v>
      </c>
      <c r="P324" s="99">
        <f>SUM(SamplingData[[#This Row],[Winning Candidate]:[Under Votes]])</f>
        <v>179</v>
      </c>
      <c r="Q324" s="100">
        <f>IF(AND(SamplingData[[#This Row],[Total]]&lt;&gt; 0, NOT(ISBLANK(SamplingData[[#This Row],[Losing Candidate]]))),(SamplingData[[#This Row],[Total]]+SamplingData[[#This Row],[Winning Candidate]]-SamplingData[[#This Row],[Losing Candidate]])/(SamplingData[[#Totals],[Winning Candidate]]-SamplingData[[#Totals],[Losing Candidate]]), 0)</f>
        <v>2.0795145692434108E-2</v>
      </c>
      <c r="R324" s="100">
        <f>IF(AND(SamplingData[[#This Row],[Total]]&lt;&gt; 0, NOT(ISBLANK(SamplingData[[#This Row],[Candidate 3]]))),(SamplingData[[#This Row],[Total]]+SamplingData[[#This Row],[Winning Candidate]]-SamplingData[[#This Row],[Candidate 3]])/(SamplingData[[#Totals],[Winning Candidate]]-SamplingData[[#Totals],[Candidate 3]]), 0)</f>
        <v>1.8909460374802439E-2</v>
      </c>
      <c r="S324" s="100">
        <f>IF(AND(SamplingData[[#This Row],[Total]]&lt;&gt; 0, NOT(ISBLANK(SamplingData[[#This Row],[Candidate 4]]))),(SamplingData[[#This Row],[Total]]+SamplingData[[#This Row],[Winning Candidate]]-SamplingData[[#This Row],[Candidate 4]])/(SamplingData[[#Totals],[Winning Candidate]]-SamplingData[[#Totals],[Candidate 4]]), 0)</f>
        <v>0</v>
      </c>
      <c r="T324" s="100">
        <f>IF(AND(SamplingData[[#This Row],[Total]]&lt;&gt; 0, NOT(ISBLANK(SamplingData[[#This Row],[Candidate 5]]))),(SamplingData[[#This Row],[Total]]+SamplingData[[#This Row],[Winning Candidate]]-SamplingData[[#This Row],[Candidate 5]])/(SamplingData[[#Totals],[Winning Candidate]]-SamplingData[[#Totals],[Candidate 5]]), 0)</f>
        <v>0</v>
      </c>
      <c r="U324" s="100">
        <f>IF(AND(SamplingData[[#This Row],[Total]]&lt;&gt; 0, NOT(ISBLANK(SamplingData[[#This Row],[Candidate 6]]))),(SamplingData[[#This Row],[Total]]+SamplingData[[#This Row],[Losing Candidate]]-SamplingData[[#This Row],[Candidate 6]])/(SamplingData[[#Totals],[Winning Candidate]]-SamplingData[[#Totals],[Candidate 6]]), 0)</f>
        <v>0</v>
      </c>
      <c r="V324" s="100">
        <f>IF(AND(SamplingData[[#This Row],[Total]]&lt;&gt; 0, NOT(ISBLANK(SamplingData[[#This Row],[Candidate 7]]))),(SamplingData[[#This Row],[Total]]+SamplingData[[#This Row],[Winning Candidate]]-SamplingData[[#This Row],[Candidate 7]])/(SamplingData[[#Totals],[Winning Candidate]]-SamplingData[[#Totals],[Candidate 7]]), 0)</f>
        <v>0</v>
      </c>
      <c r="W324" s="100">
        <f>IF(AND(SamplingData[[#This Row],[Total]]&lt;&gt; 0, NOT(ISBLANK(SamplingData[[#This Row],[Candidate 8]]))),(SamplingData[[#This Row],[Total]]+SamplingData[[#This Row],[Winning Candidate]]-SamplingData[[#This Row],[Candidate 8]])/(SamplingData[[#Totals],[Winning Candidate]]-SamplingData[[#Totals],[Candidate 8]]), 0)</f>
        <v>0</v>
      </c>
      <c r="X32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4" s="100">
        <f>MAX(SamplingData[[#This Row],[Error Bound (up) - Max. possible relative overstatement - Losing Candidate]:[Error Bound (up) - Max. possible relative overstatement - Candidate 12]])</f>
        <v>2.0795145692434108E-2</v>
      </c>
      <c r="AC324" s="100">
        <f>IF(SamplingData[[#This Row],[Max Error Bound (up)]] = 0,0,SamplingData[[#This Row],[Max Error Bound (up)]]/SamplingData[[#Totals],[Max Error Bound (up)]])</f>
        <v>8.4398253058026451E-3</v>
      </c>
      <c r="AD324" s="104">
        <f>SUM($AC$5:AC324)</f>
        <v>0.77658323845554522</v>
      </c>
      <c r="AE324" s="100" t="str" cm="1">
        <f t="array" ref="AE324">IF(SamplingData[[#This Row],[up/U Selection Probability]] = 0, "Zero", TEXT(SamplingData[[#This Row],[Lower Range]], REPT("0",LEN('General Info'!$B$42))) &amp; " - " &amp; TEXT(SamplingData[[#This Row],[Upper Range]], REPT("0",LEN('General Info'!$B$42))))</f>
        <v>76814 - 77657</v>
      </c>
      <c r="AF324" s="100">
        <f>SamplingData[[#This Row],[Upper Range]]-SamplingData[[#This Row],[Span]]</f>
        <v>76814.341314974256</v>
      </c>
      <c r="AG324" s="100">
        <f>IF(ISNUMBER('General Info'!$B$42), ((SamplingData[[#This Row],[up/U Selection Probability]]) * 'General Info'!$B$44) - 1, 0)</f>
        <v>842.98253058026455</v>
      </c>
      <c r="AH324" s="100">
        <f>IF(ISNUMBER('General Info'!$B$42), (SamplingData[[#This Row],[Running (cumulative) sum]] * ('General Info'!$B$42 -'General Info'!$B$43 + 1)) + 'General Info'!$B$43 - 1, 0)</f>
        <v>77657.323845554522</v>
      </c>
      <c r="AI324" s="100" t="str">
        <f>IF(ISERROR(MATCH(SamplingData[[#This Row],[Batch by Type (p)]],SelectedPrecincts[Batch Name], 0)), "", INDEX(SelectedPrecincts[Draw], MATCH(SamplingData[[#This Row],[Batch by Type (p)]],SelectedPrecincts[Batch Name], 0)))</f>
        <v/>
      </c>
      <c r="AJ324" s="101">
        <f>IF(COUNTIF(SelectedPrecincts[Batch Name],SamplingData[[#This Row],[Batch by Type (p)]]) &lt;&gt; 0, COUNTIF(SelectedPrecincts[Batch Name],SamplingData[[#This Row],[Batch by Type (p)]]), 0)</f>
        <v>0</v>
      </c>
    </row>
    <row r="325" spans="1:36" ht="15" customHeight="1" x14ac:dyDescent="0.35">
      <c r="A325" s="98" t="s">
        <v>536</v>
      </c>
      <c r="B325" s="98">
        <v>57</v>
      </c>
      <c r="C325" s="98">
        <v>8</v>
      </c>
      <c r="D325" s="93">
        <v>1</v>
      </c>
      <c r="E325" s="93"/>
      <c r="F325" s="93"/>
      <c r="G325" s="97"/>
      <c r="H325" s="97"/>
      <c r="I325" s="93"/>
      <c r="J325" s="93"/>
      <c r="K325" s="93"/>
      <c r="L325" s="93"/>
      <c r="M325" s="93"/>
      <c r="N325" s="98">
        <v>0</v>
      </c>
      <c r="O325" s="98">
        <v>0</v>
      </c>
      <c r="P325" s="99">
        <f>SUM(SamplingData[[#This Row],[Winning Candidate]:[Under Votes]])</f>
        <v>66</v>
      </c>
      <c r="Q325" s="100">
        <f>IF(AND(SamplingData[[#This Row],[Total]]&lt;&gt; 0, NOT(ISBLANK(SamplingData[[#This Row],[Losing Candidate]]))),(SamplingData[[#This Row],[Total]]+SamplingData[[#This Row],[Winning Candidate]]-SamplingData[[#This Row],[Losing Candidate]])/(SamplingData[[#Totals],[Winning Candidate]]-SamplingData[[#Totals],[Losing Candidate]]), 0)</f>
        <v>7.2688199228873015E-3</v>
      </c>
      <c r="R325" s="100">
        <f>IF(AND(SamplingData[[#This Row],[Total]]&lt;&gt; 0, NOT(ISBLANK(SamplingData[[#This Row],[Candidate 3]]))),(SamplingData[[#This Row],[Total]]+SamplingData[[#This Row],[Winning Candidate]]-SamplingData[[#This Row],[Candidate 3]])/(SamplingData[[#Totals],[Winning Candidate]]-SamplingData[[#Totals],[Candidate 3]]), 0)</f>
        <v>6.8864303454504406E-3</v>
      </c>
      <c r="S325" s="100">
        <f>IF(AND(SamplingData[[#This Row],[Total]]&lt;&gt; 0, NOT(ISBLANK(SamplingData[[#This Row],[Candidate 4]]))),(SamplingData[[#This Row],[Total]]+SamplingData[[#This Row],[Winning Candidate]]-SamplingData[[#This Row],[Candidate 4]])/(SamplingData[[#Totals],[Winning Candidate]]-SamplingData[[#Totals],[Candidate 4]]), 0)</f>
        <v>0</v>
      </c>
      <c r="T325" s="100">
        <f>IF(AND(SamplingData[[#This Row],[Total]]&lt;&gt; 0, NOT(ISBLANK(SamplingData[[#This Row],[Candidate 5]]))),(SamplingData[[#This Row],[Total]]+SamplingData[[#This Row],[Winning Candidate]]-SamplingData[[#This Row],[Candidate 5]])/(SamplingData[[#Totals],[Winning Candidate]]-SamplingData[[#Totals],[Candidate 5]]), 0)</f>
        <v>0</v>
      </c>
      <c r="U325" s="100">
        <f>IF(AND(SamplingData[[#This Row],[Total]]&lt;&gt; 0, NOT(ISBLANK(SamplingData[[#This Row],[Candidate 6]]))),(SamplingData[[#This Row],[Total]]+SamplingData[[#This Row],[Losing Candidate]]-SamplingData[[#This Row],[Candidate 6]])/(SamplingData[[#Totals],[Winning Candidate]]-SamplingData[[#Totals],[Candidate 6]]), 0)</f>
        <v>0</v>
      </c>
      <c r="V325" s="100">
        <f>IF(AND(SamplingData[[#This Row],[Total]]&lt;&gt; 0, NOT(ISBLANK(SamplingData[[#This Row],[Candidate 7]]))),(SamplingData[[#This Row],[Total]]+SamplingData[[#This Row],[Winning Candidate]]-SamplingData[[#This Row],[Candidate 7]])/(SamplingData[[#Totals],[Winning Candidate]]-SamplingData[[#Totals],[Candidate 7]]), 0)</f>
        <v>0</v>
      </c>
      <c r="W325" s="100">
        <f>IF(AND(SamplingData[[#This Row],[Total]]&lt;&gt; 0, NOT(ISBLANK(SamplingData[[#This Row],[Candidate 8]]))),(SamplingData[[#This Row],[Total]]+SamplingData[[#This Row],[Winning Candidate]]-SamplingData[[#This Row],[Candidate 8]])/(SamplingData[[#Totals],[Winning Candidate]]-SamplingData[[#Totals],[Candidate 8]]), 0)</f>
        <v>0</v>
      </c>
      <c r="X32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5" s="100">
        <f>MAX(SamplingData[[#This Row],[Error Bound (up) - Max. possible relative overstatement - Losing Candidate]:[Error Bound (up) - Max. possible relative overstatement - Candidate 12]])</f>
        <v>7.2688199228873015E-3</v>
      </c>
      <c r="AC325" s="100">
        <f>IF(SamplingData[[#This Row],[Max Error Bound (up)]] = 0,0,SamplingData[[#This Row],[Max Error Bound (up)]]/SamplingData[[#Totals],[Max Error Bound (up)]])</f>
        <v>2.9500909123626267E-3</v>
      </c>
      <c r="AD325" s="104">
        <f>SUM($AC$5:AC325)</f>
        <v>0.77953332936790787</v>
      </c>
      <c r="AE325" s="100" t="str" cm="1">
        <f t="array" ref="AE325">IF(SamplingData[[#This Row],[up/U Selection Probability]] = 0, "Zero", TEXT(SamplingData[[#This Row],[Lower Range]], REPT("0",LEN('General Info'!$B$42))) &amp; " - " &amp; TEXT(SamplingData[[#This Row],[Upper Range]], REPT("0",LEN('General Info'!$B$42))))</f>
        <v>77658 - 77952</v>
      </c>
      <c r="AF325" s="100">
        <f>SamplingData[[#This Row],[Upper Range]]-SamplingData[[#This Row],[Span]]</f>
        <v>77658.323845554522</v>
      </c>
      <c r="AG325" s="100">
        <f>IF(ISNUMBER('General Info'!$B$42), ((SamplingData[[#This Row],[up/U Selection Probability]]) * 'General Info'!$B$44) - 1, 0)</f>
        <v>294.00909123626269</v>
      </c>
      <c r="AH325" s="100">
        <f>IF(ISNUMBER('General Info'!$B$42), (SamplingData[[#This Row],[Running (cumulative) sum]] * ('General Info'!$B$42 -'General Info'!$B$43 + 1)) + 'General Info'!$B$43 - 1, 0)</f>
        <v>77952.332936790786</v>
      </c>
      <c r="AI325" s="100" t="str">
        <f>IF(ISERROR(MATCH(SamplingData[[#This Row],[Batch by Type (p)]],SelectedPrecincts[Batch Name], 0)), "", INDEX(SelectedPrecincts[Draw], MATCH(SamplingData[[#This Row],[Batch by Type (p)]],SelectedPrecincts[Batch Name], 0)))</f>
        <v/>
      </c>
      <c r="AJ325" s="101">
        <f>IF(COUNTIF(SelectedPrecincts[Batch Name],SamplingData[[#This Row],[Batch by Type (p)]]) &lt;&gt; 0, COUNTIF(SelectedPrecincts[Batch Name],SamplingData[[#This Row],[Batch by Type (p)]]), 0)</f>
        <v>0</v>
      </c>
    </row>
    <row r="326" spans="1:36" ht="15" customHeight="1" x14ac:dyDescent="0.35">
      <c r="A326" s="98" t="s">
        <v>537</v>
      </c>
      <c r="B326" s="98">
        <v>31</v>
      </c>
      <c r="C326" s="98">
        <v>1</v>
      </c>
      <c r="D326" s="93">
        <v>1</v>
      </c>
      <c r="E326" s="93"/>
      <c r="F326" s="93"/>
      <c r="G326" s="97"/>
      <c r="H326" s="97"/>
      <c r="I326" s="93"/>
      <c r="J326" s="93"/>
      <c r="K326" s="93"/>
      <c r="L326" s="93"/>
      <c r="M326" s="93"/>
      <c r="N326" s="98">
        <v>0</v>
      </c>
      <c r="O326" s="98">
        <v>0</v>
      </c>
      <c r="P326" s="99">
        <f>SUM(SamplingData[[#This Row],[Winning Candidate]:[Under Votes]])</f>
        <v>33</v>
      </c>
      <c r="Q326" s="100">
        <f>IF(AND(SamplingData[[#This Row],[Total]]&lt;&gt; 0, NOT(ISBLANK(SamplingData[[#This Row],[Losing Candidate]]))),(SamplingData[[#This Row],[Total]]+SamplingData[[#This Row],[Winning Candidate]]-SamplingData[[#This Row],[Losing Candidate]])/(SamplingData[[#Totals],[Winning Candidate]]-SamplingData[[#Totals],[Losing Candidate]]), 0)</f>
        <v>3.9820491751469565E-3</v>
      </c>
      <c r="R326" s="100">
        <f>IF(AND(SamplingData[[#This Row],[Total]]&lt;&gt; 0, NOT(ISBLANK(SamplingData[[#This Row],[Candidate 3]]))),(SamplingData[[#This Row],[Total]]+SamplingData[[#This Row],[Winning Candidate]]-SamplingData[[#This Row],[Candidate 3]])/(SamplingData[[#Totals],[Winning Candidate]]-SamplingData[[#Totals],[Candidate 3]]), 0)</f>
        <v>3.5561074734703092E-3</v>
      </c>
      <c r="S326" s="100">
        <f>IF(AND(SamplingData[[#This Row],[Total]]&lt;&gt; 0, NOT(ISBLANK(SamplingData[[#This Row],[Candidate 4]]))),(SamplingData[[#This Row],[Total]]+SamplingData[[#This Row],[Winning Candidate]]-SamplingData[[#This Row],[Candidate 4]])/(SamplingData[[#Totals],[Winning Candidate]]-SamplingData[[#Totals],[Candidate 4]]), 0)</f>
        <v>0</v>
      </c>
      <c r="T326" s="100">
        <f>IF(AND(SamplingData[[#This Row],[Total]]&lt;&gt; 0, NOT(ISBLANK(SamplingData[[#This Row],[Candidate 5]]))),(SamplingData[[#This Row],[Total]]+SamplingData[[#This Row],[Winning Candidate]]-SamplingData[[#This Row],[Candidate 5]])/(SamplingData[[#Totals],[Winning Candidate]]-SamplingData[[#Totals],[Candidate 5]]), 0)</f>
        <v>0</v>
      </c>
      <c r="U326" s="100">
        <f>IF(AND(SamplingData[[#This Row],[Total]]&lt;&gt; 0, NOT(ISBLANK(SamplingData[[#This Row],[Candidate 6]]))),(SamplingData[[#This Row],[Total]]+SamplingData[[#This Row],[Losing Candidate]]-SamplingData[[#This Row],[Candidate 6]])/(SamplingData[[#Totals],[Winning Candidate]]-SamplingData[[#Totals],[Candidate 6]]), 0)</f>
        <v>0</v>
      </c>
      <c r="V326" s="100">
        <f>IF(AND(SamplingData[[#This Row],[Total]]&lt;&gt; 0, NOT(ISBLANK(SamplingData[[#This Row],[Candidate 7]]))),(SamplingData[[#This Row],[Total]]+SamplingData[[#This Row],[Winning Candidate]]-SamplingData[[#This Row],[Candidate 7]])/(SamplingData[[#Totals],[Winning Candidate]]-SamplingData[[#Totals],[Candidate 7]]), 0)</f>
        <v>0</v>
      </c>
      <c r="W326" s="100">
        <f>IF(AND(SamplingData[[#This Row],[Total]]&lt;&gt; 0, NOT(ISBLANK(SamplingData[[#This Row],[Candidate 8]]))),(SamplingData[[#This Row],[Total]]+SamplingData[[#This Row],[Winning Candidate]]-SamplingData[[#This Row],[Candidate 8]])/(SamplingData[[#Totals],[Winning Candidate]]-SamplingData[[#Totals],[Candidate 8]]), 0)</f>
        <v>0</v>
      </c>
      <c r="X32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6" s="100">
        <f>MAX(SamplingData[[#This Row],[Error Bound (up) - Max. possible relative overstatement - Losing Candidate]:[Error Bound (up) - Max. possible relative overstatement - Candidate 12]])</f>
        <v>3.9820491751469565E-3</v>
      </c>
      <c r="AC326" s="100">
        <f>IF(SamplingData[[#This Row],[Max Error Bound (up)]] = 0,0,SamplingData[[#This Row],[Max Error Bound (up)]]/SamplingData[[#Totals],[Max Error Bound (up)]])</f>
        <v>1.6161367606856128E-3</v>
      </c>
      <c r="AD326" s="104">
        <f>SUM($AC$5:AC326)</f>
        <v>0.78114946612859348</v>
      </c>
      <c r="AE326" s="100" t="str" cm="1">
        <f t="array" ref="AE326">IF(SamplingData[[#This Row],[up/U Selection Probability]] = 0, "Zero", TEXT(SamplingData[[#This Row],[Lower Range]], REPT("0",LEN('General Info'!$B$42))) &amp; " - " &amp; TEXT(SamplingData[[#This Row],[Upper Range]], REPT("0",LEN('General Info'!$B$42))))</f>
        <v>77953 - 78114</v>
      </c>
      <c r="AF326" s="100">
        <f>SamplingData[[#This Row],[Upper Range]]-SamplingData[[#This Row],[Span]]</f>
        <v>77953.332936790786</v>
      </c>
      <c r="AG326" s="100">
        <f>IF(ISNUMBER('General Info'!$B$42), ((SamplingData[[#This Row],[up/U Selection Probability]]) * 'General Info'!$B$44) - 1, 0)</f>
        <v>160.61367606856129</v>
      </c>
      <c r="AH326" s="100">
        <f>IF(ISNUMBER('General Info'!$B$42), (SamplingData[[#This Row],[Running (cumulative) sum]] * ('General Info'!$B$42 -'General Info'!$B$43 + 1)) + 'General Info'!$B$43 - 1, 0)</f>
        <v>78113.946612859349</v>
      </c>
      <c r="AI326" s="100" t="str">
        <f>IF(ISERROR(MATCH(SamplingData[[#This Row],[Batch by Type (p)]],SelectedPrecincts[Batch Name], 0)), "", INDEX(SelectedPrecincts[Draw], MATCH(SamplingData[[#This Row],[Batch by Type (p)]],SelectedPrecincts[Batch Name], 0)))</f>
        <v/>
      </c>
      <c r="AJ326" s="101">
        <f>IF(COUNTIF(SelectedPrecincts[Batch Name],SamplingData[[#This Row],[Batch by Type (p)]]) &lt;&gt; 0, COUNTIF(SelectedPrecincts[Batch Name],SamplingData[[#This Row],[Batch by Type (p)]]), 0)</f>
        <v>0</v>
      </c>
    </row>
    <row r="327" spans="1:36" ht="15" customHeight="1" x14ac:dyDescent="0.35">
      <c r="A327" s="98" t="s">
        <v>538</v>
      </c>
      <c r="B327" s="98">
        <v>177</v>
      </c>
      <c r="C327" s="98">
        <v>10</v>
      </c>
      <c r="D327" s="93">
        <v>3</v>
      </c>
      <c r="E327" s="93"/>
      <c r="F327" s="93"/>
      <c r="G327" s="97"/>
      <c r="H327" s="97"/>
      <c r="I327" s="93"/>
      <c r="J327" s="93"/>
      <c r="K327" s="93"/>
      <c r="L327" s="93"/>
      <c r="M327" s="93"/>
      <c r="N327" s="98">
        <v>0</v>
      </c>
      <c r="O327" s="98">
        <v>0</v>
      </c>
      <c r="P327" s="99">
        <f>SUM(SamplingData[[#This Row],[Winning Candidate]:[Under Votes]])</f>
        <v>190</v>
      </c>
      <c r="Q327" s="100">
        <f>IF(AND(SamplingData[[#This Row],[Total]]&lt;&gt; 0, NOT(ISBLANK(SamplingData[[#This Row],[Losing Candidate]]))),(SamplingData[[#This Row],[Total]]+SamplingData[[#This Row],[Winning Candidate]]-SamplingData[[#This Row],[Losing Candidate]])/(SamplingData[[#Totals],[Winning Candidate]]-SamplingData[[#Totals],[Losing Candidate]]), 0)</f>
        <v>2.2564945325832753E-2</v>
      </c>
      <c r="R327" s="100">
        <f>IF(AND(SamplingData[[#This Row],[Total]]&lt;&gt; 0, NOT(ISBLANK(SamplingData[[#This Row],[Candidate 3]]))),(SamplingData[[#This Row],[Total]]+SamplingData[[#This Row],[Winning Candidate]]-SamplingData[[#This Row],[Candidate 3]])/(SamplingData[[#Totals],[Winning Candidate]]-SamplingData[[#Totals],[Candidate 3]]), 0)</f>
        <v>2.0546398735606233E-2</v>
      </c>
      <c r="S327" s="100">
        <f>IF(AND(SamplingData[[#This Row],[Total]]&lt;&gt; 0, NOT(ISBLANK(SamplingData[[#This Row],[Candidate 4]]))),(SamplingData[[#This Row],[Total]]+SamplingData[[#This Row],[Winning Candidate]]-SamplingData[[#This Row],[Candidate 4]])/(SamplingData[[#Totals],[Winning Candidate]]-SamplingData[[#Totals],[Candidate 4]]), 0)</f>
        <v>0</v>
      </c>
      <c r="T327" s="100">
        <f>IF(AND(SamplingData[[#This Row],[Total]]&lt;&gt; 0, NOT(ISBLANK(SamplingData[[#This Row],[Candidate 5]]))),(SamplingData[[#This Row],[Total]]+SamplingData[[#This Row],[Winning Candidate]]-SamplingData[[#This Row],[Candidate 5]])/(SamplingData[[#Totals],[Winning Candidate]]-SamplingData[[#Totals],[Candidate 5]]), 0)</f>
        <v>0</v>
      </c>
      <c r="U327" s="100">
        <f>IF(AND(SamplingData[[#This Row],[Total]]&lt;&gt; 0, NOT(ISBLANK(SamplingData[[#This Row],[Candidate 6]]))),(SamplingData[[#This Row],[Total]]+SamplingData[[#This Row],[Losing Candidate]]-SamplingData[[#This Row],[Candidate 6]])/(SamplingData[[#Totals],[Winning Candidate]]-SamplingData[[#Totals],[Candidate 6]]), 0)</f>
        <v>0</v>
      </c>
      <c r="V327" s="100">
        <f>IF(AND(SamplingData[[#This Row],[Total]]&lt;&gt; 0, NOT(ISBLANK(SamplingData[[#This Row],[Candidate 7]]))),(SamplingData[[#This Row],[Total]]+SamplingData[[#This Row],[Winning Candidate]]-SamplingData[[#This Row],[Candidate 7]])/(SamplingData[[#Totals],[Winning Candidate]]-SamplingData[[#Totals],[Candidate 7]]), 0)</f>
        <v>0</v>
      </c>
      <c r="W327" s="100">
        <f>IF(AND(SamplingData[[#This Row],[Total]]&lt;&gt; 0, NOT(ISBLANK(SamplingData[[#This Row],[Candidate 8]]))),(SamplingData[[#This Row],[Total]]+SamplingData[[#This Row],[Winning Candidate]]-SamplingData[[#This Row],[Candidate 8]])/(SamplingData[[#Totals],[Winning Candidate]]-SamplingData[[#Totals],[Candidate 8]]), 0)</f>
        <v>0</v>
      </c>
      <c r="X32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7" s="100">
        <f>MAX(SamplingData[[#This Row],[Error Bound (up) - Max. possible relative overstatement - Losing Candidate]:[Error Bound (up) - Max. possible relative overstatement - Candidate 12]])</f>
        <v>2.2564945325832753E-2</v>
      </c>
      <c r="AC327" s="100">
        <f>IF(SamplingData[[#This Row],[Max Error Bound (up)]] = 0,0,SamplingData[[#This Row],[Max Error Bound (up)]]/SamplingData[[#Totals],[Max Error Bound (up)]])</f>
        <v>9.1581083105518064E-3</v>
      </c>
      <c r="AD327" s="104">
        <f>SUM($AC$5:AC327)</f>
        <v>0.79030757443914534</v>
      </c>
      <c r="AE327" s="100" t="str" cm="1">
        <f t="array" ref="AE327">IF(SamplingData[[#This Row],[up/U Selection Probability]] = 0, "Zero", TEXT(SamplingData[[#This Row],[Lower Range]], REPT("0",LEN('General Info'!$B$42))) &amp; " - " &amp; TEXT(SamplingData[[#This Row],[Upper Range]], REPT("0",LEN('General Info'!$B$42))))</f>
        <v>78115 - 79030</v>
      </c>
      <c r="AF327" s="100">
        <f>SamplingData[[#This Row],[Upper Range]]-SamplingData[[#This Row],[Span]]</f>
        <v>78114.946612859363</v>
      </c>
      <c r="AG327" s="100">
        <f>IF(ISNUMBER('General Info'!$B$42), ((SamplingData[[#This Row],[up/U Selection Probability]]) * 'General Info'!$B$44) - 1, 0)</f>
        <v>914.81083105518064</v>
      </c>
      <c r="AH327" s="100">
        <f>IF(ISNUMBER('General Info'!$B$42), (SamplingData[[#This Row],[Running (cumulative) sum]] * ('General Info'!$B$42 -'General Info'!$B$43 + 1)) + 'General Info'!$B$43 - 1, 0)</f>
        <v>79029.757443914539</v>
      </c>
      <c r="AI327" s="100" t="str">
        <f>IF(ISERROR(MATCH(SamplingData[[#This Row],[Batch by Type (p)]],SelectedPrecincts[Batch Name], 0)), "", INDEX(SelectedPrecincts[Draw], MATCH(SamplingData[[#This Row],[Batch by Type (p)]],SelectedPrecincts[Batch Name], 0)))</f>
        <v/>
      </c>
      <c r="AJ327" s="101">
        <f>IF(COUNTIF(SelectedPrecincts[Batch Name],SamplingData[[#This Row],[Batch by Type (p)]]) &lt;&gt; 0, COUNTIF(SelectedPrecincts[Batch Name],SamplingData[[#This Row],[Batch by Type (p)]]), 0)</f>
        <v>0</v>
      </c>
    </row>
    <row r="328" spans="1:36" ht="15" customHeight="1" x14ac:dyDescent="0.35">
      <c r="A328" s="98" t="s">
        <v>539</v>
      </c>
      <c r="B328" s="98">
        <v>52</v>
      </c>
      <c r="C328" s="98">
        <v>4</v>
      </c>
      <c r="D328" s="93">
        <v>3</v>
      </c>
      <c r="E328" s="93"/>
      <c r="F328" s="93"/>
      <c r="G328" s="97"/>
      <c r="H328" s="97"/>
      <c r="I328" s="93"/>
      <c r="J328" s="93"/>
      <c r="K328" s="93"/>
      <c r="L328" s="93"/>
      <c r="M328" s="93"/>
      <c r="N328" s="98">
        <v>0</v>
      </c>
      <c r="O328" s="98">
        <v>0</v>
      </c>
      <c r="P328" s="99">
        <f>SUM(SamplingData[[#This Row],[Winning Candidate]:[Under Votes]])</f>
        <v>59</v>
      </c>
      <c r="Q328" s="100">
        <f>IF(AND(SamplingData[[#This Row],[Total]]&lt;&gt; 0, NOT(ISBLANK(SamplingData[[#This Row],[Losing Candidate]]))),(SamplingData[[#This Row],[Total]]+SamplingData[[#This Row],[Winning Candidate]]-SamplingData[[#This Row],[Losing Candidate]])/(SamplingData[[#Totals],[Winning Candidate]]-SamplingData[[#Totals],[Losing Candidate]]), 0)</f>
        <v>6.7631628847734026E-3</v>
      </c>
      <c r="R328" s="100">
        <f>IF(AND(SamplingData[[#This Row],[Total]]&lt;&gt; 0, NOT(ISBLANK(SamplingData[[#This Row],[Candidate 3]]))),(SamplingData[[#This Row],[Total]]+SamplingData[[#This Row],[Winning Candidate]]-SamplingData[[#This Row],[Candidate 3]])/(SamplingData[[#Totals],[Winning Candidate]]-SamplingData[[#Totals],[Candidate 3]]), 0)</f>
        <v>6.0961842402348157E-3</v>
      </c>
      <c r="S328" s="100">
        <f>IF(AND(SamplingData[[#This Row],[Total]]&lt;&gt; 0, NOT(ISBLANK(SamplingData[[#This Row],[Candidate 4]]))),(SamplingData[[#This Row],[Total]]+SamplingData[[#This Row],[Winning Candidate]]-SamplingData[[#This Row],[Candidate 4]])/(SamplingData[[#Totals],[Winning Candidate]]-SamplingData[[#Totals],[Candidate 4]]), 0)</f>
        <v>0</v>
      </c>
      <c r="T328" s="100">
        <f>IF(AND(SamplingData[[#This Row],[Total]]&lt;&gt; 0, NOT(ISBLANK(SamplingData[[#This Row],[Candidate 5]]))),(SamplingData[[#This Row],[Total]]+SamplingData[[#This Row],[Winning Candidate]]-SamplingData[[#This Row],[Candidate 5]])/(SamplingData[[#Totals],[Winning Candidate]]-SamplingData[[#Totals],[Candidate 5]]), 0)</f>
        <v>0</v>
      </c>
      <c r="U328" s="100">
        <f>IF(AND(SamplingData[[#This Row],[Total]]&lt;&gt; 0, NOT(ISBLANK(SamplingData[[#This Row],[Candidate 6]]))),(SamplingData[[#This Row],[Total]]+SamplingData[[#This Row],[Losing Candidate]]-SamplingData[[#This Row],[Candidate 6]])/(SamplingData[[#Totals],[Winning Candidate]]-SamplingData[[#Totals],[Candidate 6]]), 0)</f>
        <v>0</v>
      </c>
      <c r="V328" s="100">
        <f>IF(AND(SamplingData[[#This Row],[Total]]&lt;&gt; 0, NOT(ISBLANK(SamplingData[[#This Row],[Candidate 7]]))),(SamplingData[[#This Row],[Total]]+SamplingData[[#This Row],[Winning Candidate]]-SamplingData[[#This Row],[Candidate 7]])/(SamplingData[[#Totals],[Winning Candidate]]-SamplingData[[#Totals],[Candidate 7]]), 0)</f>
        <v>0</v>
      </c>
      <c r="W328" s="100">
        <f>IF(AND(SamplingData[[#This Row],[Total]]&lt;&gt; 0, NOT(ISBLANK(SamplingData[[#This Row],[Candidate 8]]))),(SamplingData[[#This Row],[Total]]+SamplingData[[#This Row],[Winning Candidate]]-SamplingData[[#This Row],[Candidate 8]])/(SamplingData[[#Totals],[Winning Candidate]]-SamplingData[[#Totals],[Candidate 8]]), 0)</f>
        <v>0</v>
      </c>
      <c r="X32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8" s="100">
        <f>MAX(SamplingData[[#This Row],[Error Bound (up) - Max. possible relative overstatement - Losing Candidate]:[Error Bound (up) - Max. possible relative overstatement - Candidate 12]])</f>
        <v>6.7631628847734026E-3</v>
      </c>
      <c r="AC328" s="100">
        <f>IF(SamplingData[[#This Row],[Max Error Bound (up)]] = 0,0,SamplingData[[#This Row],[Max Error Bound (up)]]/SamplingData[[#Totals],[Max Error Bound (up)]])</f>
        <v>2.7448671967200094E-3</v>
      </c>
      <c r="AD328" s="104">
        <f>SUM($AC$5:AC328)</f>
        <v>0.7930524416358653</v>
      </c>
      <c r="AE328" s="100" t="str" cm="1">
        <f t="array" ref="AE328">IF(SamplingData[[#This Row],[up/U Selection Probability]] = 0, "Zero", TEXT(SamplingData[[#This Row],[Lower Range]], REPT("0",LEN('General Info'!$B$42))) &amp; " - " &amp; TEXT(SamplingData[[#This Row],[Upper Range]], REPT("0",LEN('General Info'!$B$42))))</f>
        <v>79031 - 79304</v>
      </c>
      <c r="AF328" s="100">
        <f>SamplingData[[#This Row],[Upper Range]]-SamplingData[[#This Row],[Span]]</f>
        <v>79030.757443914525</v>
      </c>
      <c r="AG328" s="100">
        <f>IF(ISNUMBER('General Info'!$B$42), ((SamplingData[[#This Row],[up/U Selection Probability]]) * 'General Info'!$B$44) - 1, 0)</f>
        <v>273.48671967200096</v>
      </c>
      <c r="AH328" s="100">
        <f>IF(ISNUMBER('General Info'!$B$42), (SamplingData[[#This Row],[Running (cumulative) sum]] * ('General Info'!$B$42 -'General Info'!$B$43 + 1)) + 'General Info'!$B$43 - 1, 0)</f>
        <v>79304.244163586525</v>
      </c>
      <c r="AI328" s="100" t="str">
        <f>IF(ISERROR(MATCH(SamplingData[[#This Row],[Batch by Type (p)]],SelectedPrecincts[Batch Name], 0)), "", INDEX(SelectedPrecincts[Draw], MATCH(SamplingData[[#This Row],[Batch by Type (p)]],SelectedPrecincts[Batch Name], 0)))</f>
        <v/>
      </c>
      <c r="AJ328" s="101">
        <f>IF(COUNTIF(SelectedPrecincts[Batch Name],SamplingData[[#This Row],[Batch by Type (p)]]) &lt;&gt; 0, COUNTIF(SelectedPrecincts[Batch Name],SamplingData[[#This Row],[Batch by Type (p)]]), 0)</f>
        <v>0</v>
      </c>
    </row>
    <row r="329" spans="1:36" ht="15" customHeight="1" x14ac:dyDescent="0.35">
      <c r="A329" s="98" t="s">
        <v>540</v>
      </c>
      <c r="B329" s="98">
        <v>187</v>
      </c>
      <c r="C329" s="98">
        <v>4</v>
      </c>
      <c r="D329" s="93">
        <v>5</v>
      </c>
      <c r="E329" s="93"/>
      <c r="F329" s="93"/>
      <c r="G329" s="97"/>
      <c r="H329" s="97"/>
      <c r="I329" s="93"/>
      <c r="J329" s="93"/>
      <c r="K329" s="93"/>
      <c r="L329" s="93"/>
      <c r="M329" s="93"/>
      <c r="N329" s="98">
        <v>0</v>
      </c>
      <c r="O329" s="98">
        <v>0</v>
      </c>
      <c r="P329" s="99">
        <f>SUM(SamplingData[[#This Row],[Winning Candidate]:[Under Votes]])</f>
        <v>196</v>
      </c>
      <c r="Q329" s="100">
        <f>IF(AND(SamplingData[[#This Row],[Total]]&lt;&gt; 0, NOT(ISBLANK(SamplingData[[#This Row],[Losing Candidate]]))),(SamplingData[[#This Row],[Total]]+SamplingData[[#This Row],[Winning Candidate]]-SamplingData[[#This Row],[Losing Candidate]])/(SamplingData[[#Totals],[Winning Candidate]]-SamplingData[[#Totals],[Losing Candidate]]), 0)</f>
        <v>2.3955502180645977E-2</v>
      </c>
      <c r="R329" s="100">
        <f>IF(AND(SamplingData[[#This Row],[Total]]&lt;&gt; 0, NOT(ISBLANK(SamplingData[[#This Row],[Candidate 3]]))),(SamplingData[[#This Row],[Total]]+SamplingData[[#This Row],[Winning Candidate]]-SamplingData[[#This Row],[Candidate 3]])/(SamplingData[[#Totals],[Winning Candidate]]-SamplingData[[#Totals],[Candidate 3]]), 0)</f>
        <v>2.1336644840821855E-2</v>
      </c>
      <c r="S329" s="100">
        <f>IF(AND(SamplingData[[#This Row],[Total]]&lt;&gt; 0, NOT(ISBLANK(SamplingData[[#This Row],[Candidate 4]]))),(SamplingData[[#This Row],[Total]]+SamplingData[[#This Row],[Winning Candidate]]-SamplingData[[#This Row],[Candidate 4]])/(SamplingData[[#Totals],[Winning Candidate]]-SamplingData[[#Totals],[Candidate 4]]), 0)</f>
        <v>0</v>
      </c>
      <c r="T329" s="100">
        <f>IF(AND(SamplingData[[#This Row],[Total]]&lt;&gt; 0, NOT(ISBLANK(SamplingData[[#This Row],[Candidate 5]]))),(SamplingData[[#This Row],[Total]]+SamplingData[[#This Row],[Winning Candidate]]-SamplingData[[#This Row],[Candidate 5]])/(SamplingData[[#Totals],[Winning Candidate]]-SamplingData[[#Totals],[Candidate 5]]), 0)</f>
        <v>0</v>
      </c>
      <c r="U329" s="100">
        <f>IF(AND(SamplingData[[#This Row],[Total]]&lt;&gt; 0, NOT(ISBLANK(SamplingData[[#This Row],[Candidate 6]]))),(SamplingData[[#This Row],[Total]]+SamplingData[[#This Row],[Losing Candidate]]-SamplingData[[#This Row],[Candidate 6]])/(SamplingData[[#Totals],[Winning Candidate]]-SamplingData[[#Totals],[Candidate 6]]), 0)</f>
        <v>0</v>
      </c>
      <c r="V329" s="100">
        <f>IF(AND(SamplingData[[#This Row],[Total]]&lt;&gt; 0, NOT(ISBLANK(SamplingData[[#This Row],[Candidate 7]]))),(SamplingData[[#This Row],[Total]]+SamplingData[[#This Row],[Winning Candidate]]-SamplingData[[#This Row],[Candidate 7]])/(SamplingData[[#Totals],[Winning Candidate]]-SamplingData[[#Totals],[Candidate 7]]), 0)</f>
        <v>0</v>
      </c>
      <c r="W329" s="100">
        <f>IF(AND(SamplingData[[#This Row],[Total]]&lt;&gt; 0, NOT(ISBLANK(SamplingData[[#This Row],[Candidate 8]]))),(SamplingData[[#This Row],[Total]]+SamplingData[[#This Row],[Winning Candidate]]-SamplingData[[#This Row],[Candidate 8]])/(SamplingData[[#Totals],[Winning Candidate]]-SamplingData[[#Totals],[Candidate 8]]), 0)</f>
        <v>0</v>
      </c>
      <c r="X32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9" s="100">
        <f>MAX(SamplingData[[#This Row],[Error Bound (up) - Max. possible relative overstatement - Losing Candidate]:[Error Bound (up) - Max. possible relative overstatement - Candidate 12]])</f>
        <v>2.3955502180645977E-2</v>
      </c>
      <c r="AC329" s="100">
        <f>IF(SamplingData[[#This Row],[Max Error Bound (up)]] = 0,0,SamplingData[[#This Row],[Max Error Bound (up)]]/SamplingData[[#Totals],[Max Error Bound (up)]])</f>
        <v>9.7224735285690051E-3</v>
      </c>
      <c r="AD329" s="104">
        <f>SUM($AC$5:AC329)</f>
        <v>0.80277491516443433</v>
      </c>
      <c r="AE329" s="100" t="str" cm="1">
        <f t="array" ref="AE329">IF(SamplingData[[#This Row],[up/U Selection Probability]] = 0, "Zero", TEXT(SamplingData[[#This Row],[Lower Range]], REPT("0",LEN('General Info'!$B$42))) &amp; " - " &amp; TEXT(SamplingData[[#This Row],[Upper Range]], REPT("0",LEN('General Info'!$B$42))))</f>
        <v>79305 - 80276</v>
      </c>
      <c r="AF329" s="100">
        <f>SamplingData[[#This Row],[Upper Range]]-SamplingData[[#This Row],[Span]]</f>
        <v>79305.24416358654</v>
      </c>
      <c r="AG329" s="100">
        <f>IF(ISNUMBER('General Info'!$B$42), ((SamplingData[[#This Row],[up/U Selection Probability]]) * 'General Info'!$B$44) - 1, 0)</f>
        <v>971.24735285690053</v>
      </c>
      <c r="AH329" s="100">
        <f>IF(ISNUMBER('General Info'!$B$42), (SamplingData[[#This Row],[Running (cumulative) sum]] * ('General Info'!$B$42 -'General Info'!$B$43 + 1)) + 'General Info'!$B$43 - 1, 0)</f>
        <v>80276.491516443435</v>
      </c>
      <c r="AI329" s="100" t="str">
        <f>IF(ISERROR(MATCH(SamplingData[[#This Row],[Batch by Type (p)]],SelectedPrecincts[Batch Name], 0)), "", INDEX(SelectedPrecincts[Draw], MATCH(SamplingData[[#This Row],[Batch by Type (p)]],SelectedPrecincts[Batch Name], 0)))</f>
        <v/>
      </c>
      <c r="AJ329" s="101">
        <f>IF(COUNTIF(SelectedPrecincts[Batch Name],SamplingData[[#This Row],[Batch by Type (p)]]) &lt;&gt; 0, COUNTIF(SelectedPrecincts[Batch Name],SamplingData[[#This Row],[Batch by Type (p)]]), 0)</f>
        <v>0</v>
      </c>
    </row>
    <row r="330" spans="1:36" ht="15" customHeight="1" x14ac:dyDescent="0.35">
      <c r="A330" s="98" t="s">
        <v>541</v>
      </c>
      <c r="B330" s="98">
        <v>258</v>
      </c>
      <c r="C330" s="98">
        <v>11</v>
      </c>
      <c r="D330" s="93">
        <v>1</v>
      </c>
      <c r="E330" s="93"/>
      <c r="F330" s="93"/>
      <c r="G330" s="97"/>
      <c r="H330" s="97"/>
      <c r="I330" s="93"/>
      <c r="J330" s="93"/>
      <c r="K330" s="93"/>
      <c r="L330" s="93"/>
      <c r="M330" s="93"/>
      <c r="N330" s="98">
        <v>1</v>
      </c>
      <c r="O330" s="98">
        <v>2</v>
      </c>
      <c r="P330" s="99">
        <f>SUM(SamplingData[[#This Row],[Winning Candidate]:[Under Votes]])</f>
        <v>273</v>
      </c>
      <c r="Q330" s="100">
        <f>IF(AND(SamplingData[[#This Row],[Total]]&lt;&gt; 0, NOT(ISBLANK(SamplingData[[#This Row],[Losing Candidate]]))),(SamplingData[[#This Row],[Total]]+SamplingData[[#This Row],[Winning Candidate]]-SamplingData[[#This Row],[Losing Candidate]])/(SamplingData[[#Totals],[Winning Candidate]]-SamplingData[[#Totals],[Losing Candidate]]), 0)</f>
        <v>3.2867707477403453E-2</v>
      </c>
      <c r="R330" s="100">
        <f>IF(AND(SamplingData[[#This Row],[Total]]&lt;&gt; 0, NOT(ISBLANK(SamplingData[[#This Row],[Candidate 3]]))),(SamplingData[[#This Row],[Total]]+SamplingData[[#This Row],[Winning Candidate]]-SamplingData[[#This Row],[Candidate 3]])/(SamplingData[[#Totals],[Winning Candidate]]-SamplingData[[#Totals],[Candidate 3]]), 0)</f>
        <v>2.9916459697448633E-2</v>
      </c>
      <c r="S330" s="100">
        <f>IF(AND(SamplingData[[#This Row],[Total]]&lt;&gt; 0, NOT(ISBLANK(SamplingData[[#This Row],[Candidate 4]]))),(SamplingData[[#This Row],[Total]]+SamplingData[[#This Row],[Winning Candidate]]-SamplingData[[#This Row],[Candidate 4]])/(SamplingData[[#Totals],[Winning Candidate]]-SamplingData[[#Totals],[Candidate 4]]), 0)</f>
        <v>0</v>
      </c>
      <c r="T330" s="100">
        <f>IF(AND(SamplingData[[#This Row],[Total]]&lt;&gt; 0, NOT(ISBLANK(SamplingData[[#This Row],[Candidate 5]]))),(SamplingData[[#This Row],[Total]]+SamplingData[[#This Row],[Winning Candidate]]-SamplingData[[#This Row],[Candidate 5]])/(SamplingData[[#Totals],[Winning Candidate]]-SamplingData[[#Totals],[Candidate 5]]), 0)</f>
        <v>0</v>
      </c>
      <c r="U330" s="100">
        <f>IF(AND(SamplingData[[#This Row],[Total]]&lt;&gt; 0, NOT(ISBLANK(SamplingData[[#This Row],[Candidate 6]]))),(SamplingData[[#This Row],[Total]]+SamplingData[[#This Row],[Losing Candidate]]-SamplingData[[#This Row],[Candidate 6]])/(SamplingData[[#Totals],[Winning Candidate]]-SamplingData[[#Totals],[Candidate 6]]), 0)</f>
        <v>0</v>
      </c>
      <c r="V330" s="100">
        <f>IF(AND(SamplingData[[#This Row],[Total]]&lt;&gt; 0, NOT(ISBLANK(SamplingData[[#This Row],[Candidate 7]]))),(SamplingData[[#This Row],[Total]]+SamplingData[[#This Row],[Winning Candidate]]-SamplingData[[#This Row],[Candidate 7]])/(SamplingData[[#Totals],[Winning Candidate]]-SamplingData[[#Totals],[Candidate 7]]), 0)</f>
        <v>0</v>
      </c>
      <c r="W330" s="100">
        <f>IF(AND(SamplingData[[#This Row],[Total]]&lt;&gt; 0, NOT(ISBLANK(SamplingData[[#This Row],[Candidate 8]]))),(SamplingData[[#This Row],[Total]]+SamplingData[[#This Row],[Winning Candidate]]-SamplingData[[#This Row],[Candidate 8]])/(SamplingData[[#Totals],[Winning Candidate]]-SamplingData[[#Totals],[Candidate 8]]), 0)</f>
        <v>0</v>
      </c>
      <c r="X33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0" s="100">
        <f>MAX(SamplingData[[#This Row],[Error Bound (up) - Max. possible relative overstatement - Losing Candidate]:[Error Bound (up) - Max. possible relative overstatement - Candidate 12]])</f>
        <v>3.2867707477403453E-2</v>
      </c>
      <c r="AC330" s="100">
        <f>IF(SamplingData[[#This Row],[Max Error Bound (up)]] = 0,0,SamplingData[[#This Row],[Max Error Bound (up)]]/SamplingData[[#Totals],[Max Error Bound (up)]])</f>
        <v>1.3339541516770139E-2</v>
      </c>
      <c r="AD330" s="104">
        <f>SUM($AC$5:AC330)</f>
        <v>0.81611445668120453</v>
      </c>
      <c r="AE330" s="100" t="str" cm="1">
        <f t="array" ref="AE330">IF(SamplingData[[#This Row],[up/U Selection Probability]] = 0, "Zero", TEXT(SamplingData[[#This Row],[Lower Range]], REPT("0",LEN('General Info'!$B$42))) &amp; " - " &amp; TEXT(SamplingData[[#This Row],[Upper Range]], REPT("0",LEN('General Info'!$B$42))))</f>
        <v>80277 - 81610</v>
      </c>
      <c r="AF330" s="100">
        <f>SamplingData[[#This Row],[Upper Range]]-SamplingData[[#This Row],[Span]]</f>
        <v>80277.491516443435</v>
      </c>
      <c r="AG330" s="100">
        <f>IF(ISNUMBER('General Info'!$B$42), ((SamplingData[[#This Row],[up/U Selection Probability]]) * 'General Info'!$B$44) - 1, 0)</f>
        <v>1332.9541516770139</v>
      </c>
      <c r="AH330" s="100">
        <f>IF(ISNUMBER('General Info'!$B$42), (SamplingData[[#This Row],[Running (cumulative) sum]] * ('General Info'!$B$42 -'General Info'!$B$43 + 1)) + 'General Info'!$B$43 - 1, 0)</f>
        <v>81610.445668120446</v>
      </c>
      <c r="AI330" s="100" t="str">
        <f>IF(ISERROR(MATCH(SamplingData[[#This Row],[Batch by Type (p)]],SelectedPrecincts[Batch Name], 0)), "", INDEX(SelectedPrecincts[Draw], MATCH(SamplingData[[#This Row],[Batch by Type (p)]],SelectedPrecincts[Batch Name], 0)))</f>
        <v/>
      </c>
      <c r="AJ330" s="101">
        <f>IF(COUNTIF(SelectedPrecincts[Batch Name],SamplingData[[#This Row],[Batch by Type (p)]]) &lt;&gt; 0, COUNTIF(SelectedPrecincts[Batch Name],SamplingData[[#This Row],[Batch by Type (p)]]), 0)</f>
        <v>0</v>
      </c>
    </row>
    <row r="331" spans="1:36" ht="15" customHeight="1" x14ac:dyDescent="0.35">
      <c r="A331" s="98" t="s">
        <v>542</v>
      </c>
      <c r="B331" s="98">
        <v>82</v>
      </c>
      <c r="C331" s="98">
        <v>2</v>
      </c>
      <c r="D331" s="93">
        <v>3</v>
      </c>
      <c r="E331" s="93"/>
      <c r="F331" s="93"/>
      <c r="G331" s="97"/>
      <c r="H331" s="97"/>
      <c r="I331" s="93"/>
      <c r="J331" s="93"/>
      <c r="K331" s="93"/>
      <c r="L331" s="93"/>
      <c r="M331" s="93"/>
      <c r="N331" s="98">
        <v>0</v>
      </c>
      <c r="O331" s="98">
        <v>1</v>
      </c>
      <c r="P331" s="99">
        <f>SUM(SamplingData[[#This Row],[Winning Candidate]:[Under Votes]])</f>
        <v>88</v>
      </c>
      <c r="Q331" s="100">
        <f>IF(AND(SamplingData[[#This Row],[Total]]&lt;&gt; 0, NOT(ISBLANK(SamplingData[[#This Row],[Losing Candidate]]))),(SamplingData[[#This Row],[Total]]+SamplingData[[#This Row],[Winning Candidate]]-SamplingData[[#This Row],[Losing Candidate]])/(SamplingData[[#Totals],[Winning Candidate]]-SamplingData[[#Totals],[Losing Candidate]]), 0)</f>
        <v>1.0618797800391884E-2</v>
      </c>
      <c r="R331" s="100">
        <f>IF(AND(SamplingData[[#This Row],[Total]]&lt;&gt; 0, NOT(ISBLANK(SamplingData[[#This Row],[Candidate 3]]))),(SamplingData[[#This Row],[Total]]+SamplingData[[#This Row],[Winning Candidate]]-SamplingData[[#This Row],[Candidate 3]])/(SamplingData[[#Totals],[Winning Candidate]]-SamplingData[[#Totals],[Candidate 3]]), 0)</f>
        <v>9.4265071122149463E-3</v>
      </c>
      <c r="S331" s="100">
        <f>IF(AND(SamplingData[[#This Row],[Total]]&lt;&gt; 0, NOT(ISBLANK(SamplingData[[#This Row],[Candidate 4]]))),(SamplingData[[#This Row],[Total]]+SamplingData[[#This Row],[Winning Candidate]]-SamplingData[[#This Row],[Candidate 4]])/(SamplingData[[#Totals],[Winning Candidate]]-SamplingData[[#Totals],[Candidate 4]]), 0)</f>
        <v>0</v>
      </c>
      <c r="T331" s="100">
        <f>IF(AND(SamplingData[[#This Row],[Total]]&lt;&gt; 0, NOT(ISBLANK(SamplingData[[#This Row],[Candidate 5]]))),(SamplingData[[#This Row],[Total]]+SamplingData[[#This Row],[Winning Candidate]]-SamplingData[[#This Row],[Candidate 5]])/(SamplingData[[#Totals],[Winning Candidate]]-SamplingData[[#Totals],[Candidate 5]]), 0)</f>
        <v>0</v>
      </c>
      <c r="U331" s="100">
        <f>IF(AND(SamplingData[[#This Row],[Total]]&lt;&gt; 0, NOT(ISBLANK(SamplingData[[#This Row],[Candidate 6]]))),(SamplingData[[#This Row],[Total]]+SamplingData[[#This Row],[Losing Candidate]]-SamplingData[[#This Row],[Candidate 6]])/(SamplingData[[#Totals],[Winning Candidate]]-SamplingData[[#Totals],[Candidate 6]]), 0)</f>
        <v>0</v>
      </c>
      <c r="V331" s="100">
        <f>IF(AND(SamplingData[[#This Row],[Total]]&lt;&gt; 0, NOT(ISBLANK(SamplingData[[#This Row],[Candidate 7]]))),(SamplingData[[#This Row],[Total]]+SamplingData[[#This Row],[Winning Candidate]]-SamplingData[[#This Row],[Candidate 7]])/(SamplingData[[#Totals],[Winning Candidate]]-SamplingData[[#Totals],[Candidate 7]]), 0)</f>
        <v>0</v>
      </c>
      <c r="W331" s="100">
        <f>IF(AND(SamplingData[[#This Row],[Total]]&lt;&gt; 0, NOT(ISBLANK(SamplingData[[#This Row],[Candidate 8]]))),(SamplingData[[#This Row],[Total]]+SamplingData[[#This Row],[Winning Candidate]]-SamplingData[[#This Row],[Candidate 8]])/(SamplingData[[#Totals],[Winning Candidate]]-SamplingData[[#Totals],[Candidate 8]]), 0)</f>
        <v>0</v>
      </c>
      <c r="X33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1" s="100">
        <f>MAX(SamplingData[[#This Row],[Error Bound (up) - Max. possible relative overstatement - Losing Candidate]:[Error Bound (up) - Max. possible relative overstatement - Candidate 12]])</f>
        <v>1.0618797800391884E-2</v>
      </c>
      <c r="AC331" s="100">
        <f>IF(SamplingData[[#This Row],[Max Error Bound (up)]] = 0,0,SamplingData[[#This Row],[Max Error Bound (up)]]/SamplingData[[#Totals],[Max Error Bound (up)]])</f>
        <v>4.3096980284949675E-3</v>
      </c>
      <c r="AD331" s="104">
        <f>SUM($AC$5:AC331)</f>
        <v>0.82042415470969954</v>
      </c>
      <c r="AE331" s="100" t="str" cm="1">
        <f t="array" ref="AE331">IF(SamplingData[[#This Row],[up/U Selection Probability]] = 0, "Zero", TEXT(SamplingData[[#This Row],[Lower Range]], REPT("0",LEN('General Info'!$B$42))) &amp; " - " &amp; TEXT(SamplingData[[#This Row],[Upper Range]], REPT("0",LEN('General Info'!$B$42))))</f>
        <v>81611 - 82041</v>
      </c>
      <c r="AF331" s="100">
        <f>SamplingData[[#This Row],[Upper Range]]-SamplingData[[#This Row],[Span]]</f>
        <v>81611.445668120461</v>
      </c>
      <c r="AG331" s="100">
        <f>IF(ISNUMBER('General Info'!$B$42), ((SamplingData[[#This Row],[up/U Selection Probability]]) * 'General Info'!$B$44) - 1, 0)</f>
        <v>429.96980284949677</v>
      </c>
      <c r="AH331" s="100">
        <f>IF(ISNUMBER('General Info'!$B$42), (SamplingData[[#This Row],[Running (cumulative) sum]] * ('General Info'!$B$42 -'General Info'!$B$43 + 1)) + 'General Info'!$B$43 - 1, 0)</f>
        <v>82041.415470969951</v>
      </c>
      <c r="AI331" s="100" t="str">
        <f>IF(ISERROR(MATCH(SamplingData[[#This Row],[Batch by Type (p)]],SelectedPrecincts[Batch Name], 0)), "", INDEX(SelectedPrecincts[Draw], MATCH(SamplingData[[#This Row],[Batch by Type (p)]],SelectedPrecincts[Batch Name], 0)))</f>
        <v/>
      </c>
      <c r="AJ331" s="101">
        <f>IF(COUNTIF(SelectedPrecincts[Batch Name],SamplingData[[#This Row],[Batch by Type (p)]]) &lt;&gt; 0, COUNTIF(SelectedPrecincts[Batch Name],SamplingData[[#This Row],[Batch by Type (p)]]), 0)</f>
        <v>0</v>
      </c>
    </row>
    <row r="332" spans="1:36" ht="15" customHeight="1" x14ac:dyDescent="0.35">
      <c r="A332" s="98" t="s">
        <v>543</v>
      </c>
      <c r="B332" s="98">
        <v>128</v>
      </c>
      <c r="C332" s="98">
        <v>8</v>
      </c>
      <c r="D332" s="93">
        <v>6</v>
      </c>
      <c r="E332" s="93"/>
      <c r="F332" s="93"/>
      <c r="G332" s="97"/>
      <c r="H332" s="97"/>
      <c r="I332" s="93"/>
      <c r="J332" s="93"/>
      <c r="K332" s="93"/>
      <c r="L332" s="93"/>
      <c r="M332" s="93"/>
      <c r="N332" s="98">
        <v>0</v>
      </c>
      <c r="O332" s="98">
        <v>2</v>
      </c>
      <c r="P332" s="99">
        <f>SUM(SamplingData[[#This Row],[Winning Candidate]:[Under Votes]])</f>
        <v>144</v>
      </c>
      <c r="Q332" s="100">
        <f>IF(AND(SamplingData[[#This Row],[Total]]&lt;&gt; 0, NOT(ISBLANK(SamplingData[[#This Row],[Losing Candidate]]))),(SamplingData[[#This Row],[Total]]+SamplingData[[#This Row],[Winning Candidate]]-SamplingData[[#This Row],[Losing Candidate]])/(SamplingData[[#Totals],[Winning Candidate]]-SamplingData[[#Totals],[Losing Candidate]]), 0)</f>
        <v>1.6686682257758677E-2</v>
      </c>
      <c r="R332" s="100">
        <f>IF(AND(SamplingData[[#This Row],[Total]]&lt;&gt; 0, NOT(ISBLANK(SamplingData[[#This Row],[Candidate 3]]))),(SamplingData[[#This Row],[Total]]+SamplingData[[#This Row],[Winning Candidate]]-SamplingData[[#This Row],[Candidate 3]])/(SamplingData[[#Totals],[Winning Candidate]]-SamplingData[[#Totals],[Candidate 3]]), 0)</f>
        <v>1.5014675999096862E-2</v>
      </c>
      <c r="S332" s="100">
        <f>IF(AND(SamplingData[[#This Row],[Total]]&lt;&gt; 0, NOT(ISBLANK(SamplingData[[#This Row],[Candidate 4]]))),(SamplingData[[#This Row],[Total]]+SamplingData[[#This Row],[Winning Candidate]]-SamplingData[[#This Row],[Candidate 4]])/(SamplingData[[#Totals],[Winning Candidate]]-SamplingData[[#Totals],[Candidate 4]]), 0)</f>
        <v>0</v>
      </c>
      <c r="T332" s="100">
        <f>IF(AND(SamplingData[[#This Row],[Total]]&lt;&gt; 0, NOT(ISBLANK(SamplingData[[#This Row],[Candidate 5]]))),(SamplingData[[#This Row],[Total]]+SamplingData[[#This Row],[Winning Candidate]]-SamplingData[[#This Row],[Candidate 5]])/(SamplingData[[#Totals],[Winning Candidate]]-SamplingData[[#Totals],[Candidate 5]]), 0)</f>
        <v>0</v>
      </c>
      <c r="U332" s="100">
        <f>IF(AND(SamplingData[[#This Row],[Total]]&lt;&gt; 0, NOT(ISBLANK(SamplingData[[#This Row],[Candidate 6]]))),(SamplingData[[#This Row],[Total]]+SamplingData[[#This Row],[Losing Candidate]]-SamplingData[[#This Row],[Candidate 6]])/(SamplingData[[#Totals],[Winning Candidate]]-SamplingData[[#Totals],[Candidate 6]]), 0)</f>
        <v>0</v>
      </c>
      <c r="V332" s="100">
        <f>IF(AND(SamplingData[[#This Row],[Total]]&lt;&gt; 0, NOT(ISBLANK(SamplingData[[#This Row],[Candidate 7]]))),(SamplingData[[#This Row],[Total]]+SamplingData[[#This Row],[Winning Candidate]]-SamplingData[[#This Row],[Candidate 7]])/(SamplingData[[#Totals],[Winning Candidate]]-SamplingData[[#Totals],[Candidate 7]]), 0)</f>
        <v>0</v>
      </c>
      <c r="W332" s="100">
        <f>IF(AND(SamplingData[[#This Row],[Total]]&lt;&gt; 0, NOT(ISBLANK(SamplingData[[#This Row],[Candidate 8]]))),(SamplingData[[#This Row],[Total]]+SamplingData[[#This Row],[Winning Candidate]]-SamplingData[[#This Row],[Candidate 8]])/(SamplingData[[#Totals],[Winning Candidate]]-SamplingData[[#Totals],[Candidate 8]]), 0)</f>
        <v>0</v>
      </c>
      <c r="X33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2" s="100">
        <f>MAX(SamplingData[[#This Row],[Error Bound (up) - Max. possible relative overstatement - Losing Candidate]:[Error Bound (up) - Max. possible relative overstatement - Candidate 12]])</f>
        <v>1.6686682257758677E-2</v>
      </c>
      <c r="AC332" s="100">
        <f>IF(SamplingData[[#This Row],[Max Error Bound (up)]] = 0,0,SamplingData[[#This Row],[Max Error Bound (up)]]/SamplingData[[#Totals],[Max Error Bound (up)]])</f>
        <v>6.7723826162063789E-3</v>
      </c>
      <c r="AD332" s="104">
        <f>SUM($AC$5:AC332)</f>
        <v>0.82719653732590592</v>
      </c>
      <c r="AE332" s="100" t="str" cm="1">
        <f t="array" ref="AE332">IF(SamplingData[[#This Row],[up/U Selection Probability]] = 0, "Zero", TEXT(SamplingData[[#This Row],[Lower Range]], REPT("0",LEN('General Info'!$B$42))) &amp; " - " &amp; TEXT(SamplingData[[#This Row],[Upper Range]], REPT("0",LEN('General Info'!$B$42))))</f>
        <v>82042 - 82719</v>
      </c>
      <c r="AF332" s="100">
        <f>SamplingData[[#This Row],[Upper Range]]-SamplingData[[#This Row],[Span]]</f>
        <v>82042.415470969951</v>
      </c>
      <c r="AG332" s="100">
        <f>IF(ISNUMBER('General Info'!$B$42), ((SamplingData[[#This Row],[up/U Selection Probability]]) * 'General Info'!$B$44) - 1, 0)</f>
        <v>676.2382616206379</v>
      </c>
      <c r="AH332" s="100">
        <f>IF(ISNUMBER('General Info'!$B$42), (SamplingData[[#This Row],[Running (cumulative) sum]] * ('General Info'!$B$42 -'General Info'!$B$43 + 1)) + 'General Info'!$B$43 - 1, 0)</f>
        <v>82718.653732590596</v>
      </c>
      <c r="AI332" s="100" t="str">
        <f>IF(ISERROR(MATCH(SamplingData[[#This Row],[Batch by Type (p)]],SelectedPrecincts[Batch Name], 0)), "", INDEX(SelectedPrecincts[Draw], MATCH(SamplingData[[#This Row],[Batch by Type (p)]],SelectedPrecincts[Batch Name], 0)))</f>
        <v/>
      </c>
      <c r="AJ332" s="101">
        <f>IF(COUNTIF(SelectedPrecincts[Batch Name],SamplingData[[#This Row],[Batch by Type (p)]]) &lt;&gt; 0, COUNTIF(SelectedPrecincts[Batch Name],SamplingData[[#This Row],[Batch by Type (p)]]), 0)</f>
        <v>0</v>
      </c>
    </row>
    <row r="333" spans="1:36" ht="15" customHeight="1" x14ac:dyDescent="0.35">
      <c r="A333" s="98" t="s">
        <v>544</v>
      </c>
      <c r="B333" s="98">
        <v>60</v>
      </c>
      <c r="C333" s="98">
        <v>1</v>
      </c>
      <c r="D333" s="93">
        <v>0</v>
      </c>
      <c r="E333" s="93"/>
      <c r="F333" s="93"/>
      <c r="G333" s="97"/>
      <c r="H333" s="97"/>
      <c r="I333" s="93"/>
      <c r="J333" s="93"/>
      <c r="K333" s="93"/>
      <c r="L333" s="93"/>
      <c r="M333" s="93"/>
      <c r="N333" s="98">
        <v>0</v>
      </c>
      <c r="O333" s="98">
        <v>0</v>
      </c>
      <c r="P333" s="99">
        <f>SUM(SamplingData[[#This Row],[Winning Candidate]:[Under Votes]])</f>
        <v>61</v>
      </c>
      <c r="Q333" s="100">
        <f>IF(AND(SamplingData[[#This Row],[Total]]&lt;&gt; 0, NOT(ISBLANK(SamplingData[[#This Row],[Losing Candidate]]))),(SamplingData[[#This Row],[Total]]+SamplingData[[#This Row],[Winning Candidate]]-SamplingData[[#This Row],[Losing Candidate]])/(SamplingData[[#Totals],[Winning Candidate]]-SamplingData[[#Totals],[Losing Candidate]]), 0)</f>
        <v>7.5848555717084884E-3</v>
      </c>
      <c r="R333" s="100">
        <f>IF(AND(SamplingData[[#This Row],[Total]]&lt;&gt; 0, NOT(ISBLANK(SamplingData[[#This Row],[Candidate 3]]))),(SamplingData[[#This Row],[Total]]+SamplingData[[#This Row],[Winning Candidate]]-SamplingData[[#This Row],[Candidate 3]])/(SamplingData[[#Totals],[Winning Candidate]]-SamplingData[[#Totals],[Candidate 3]]), 0)</f>
        <v>6.8299841950778956E-3</v>
      </c>
      <c r="S333" s="100">
        <f>IF(AND(SamplingData[[#This Row],[Total]]&lt;&gt; 0, NOT(ISBLANK(SamplingData[[#This Row],[Candidate 4]]))),(SamplingData[[#This Row],[Total]]+SamplingData[[#This Row],[Winning Candidate]]-SamplingData[[#This Row],[Candidate 4]])/(SamplingData[[#Totals],[Winning Candidate]]-SamplingData[[#Totals],[Candidate 4]]), 0)</f>
        <v>0</v>
      </c>
      <c r="T333" s="100">
        <f>IF(AND(SamplingData[[#This Row],[Total]]&lt;&gt; 0, NOT(ISBLANK(SamplingData[[#This Row],[Candidate 5]]))),(SamplingData[[#This Row],[Total]]+SamplingData[[#This Row],[Winning Candidate]]-SamplingData[[#This Row],[Candidate 5]])/(SamplingData[[#Totals],[Winning Candidate]]-SamplingData[[#Totals],[Candidate 5]]), 0)</f>
        <v>0</v>
      </c>
      <c r="U333" s="100">
        <f>IF(AND(SamplingData[[#This Row],[Total]]&lt;&gt; 0, NOT(ISBLANK(SamplingData[[#This Row],[Candidate 6]]))),(SamplingData[[#This Row],[Total]]+SamplingData[[#This Row],[Losing Candidate]]-SamplingData[[#This Row],[Candidate 6]])/(SamplingData[[#Totals],[Winning Candidate]]-SamplingData[[#Totals],[Candidate 6]]), 0)</f>
        <v>0</v>
      </c>
      <c r="V333" s="100">
        <f>IF(AND(SamplingData[[#This Row],[Total]]&lt;&gt; 0, NOT(ISBLANK(SamplingData[[#This Row],[Candidate 7]]))),(SamplingData[[#This Row],[Total]]+SamplingData[[#This Row],[Winning Candidate]]-SamplingData[[#This Row],[Candidate 7]])/(SamplingData[[#Totals],[Winning Candidate]]-SamplingData[[#Totals],[Candidate 7]]), 0)</f>
        <v>0</v>
      </c>
      <c r="W333" s="100">
        <f>IF(AND(SamplingData[[#This Row],[Total]]&lt;&gt; 0, NOT(ISBLANK(SamplingData[[#This Row],[Candidate 8]]))),(SamplingData[[#This Row],[Total]]+SamplingData[[#This Row],[Winning Candidate]]-SamplingData[[#This Row],[Candidate 8]])/(SamplingData[[#Totals],[Winning Candidate]]-SamplingData[[#Totals],[Candidate 8]]), 0)</f>
        <v>0</v>
      </c>
      <c r="X3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3" s="100">
        <f>MAX(SamplingData[[#This Row],[Error Bound (up) - Max. possible relative overstatement - Losing Candidate]:[Error Bound (up) - Max. possible relative overstatement - Candidate 12]])</f>
        <v>7.5848555717084884E-3</v>
      </c>
      <c r="AC333" s="100">
        <f>IF(SamplingData[[#This Row],[Max Error Bound (up)]] = 0,0,SamplingData[[#This Row],[Max Error Bound (up)]]/SamplingData[[#Totals],[Max Error Bound (up)]])</f>
        <v>3.0783557346392627E-3</v>
      </c>
      <c r="AD333" s="104">
        <f>SUM($AC$5:AC333)</f>
        <v>0.83027489306054514</v>
      </c>
      <c r="AE333" s="100" t="str" cm="1">
        <f t="array" ref="AE333">IF(SamplingData[[#This Row],[up/U Selection Probability]] = 0, "Zero", TEXT(SamplingData[[#This Row],[Lower Range]], REPT("0",LEN('General Info'!$B$42))) &amp; " - " &amp; TEXT(SamplingData[[#This Row],[Upper Range]], REPT("0",LEN('General Info'!$B$42))))</f>
        <v>82720 - 83026</v>
      </c>
      <c r="AF333" s="100">
        <f>SamplingData[[#This Row],[Upper Range]]-SamplingData[[#This Row],[Span]]</f>
        <v>82719.653732590581</v>
      </c>
      <c r="AG333" s="100">
        <f>IF(ISNUMBER('General Info'!$B$42), ((SamplingData[[#This Row],[up/U Selection Probability]]) * 'General Info'!$B$44) - 1, 0)</f>
        <v>306.83557346392627</v>
      </c>
      <c r="AH333" s="100">
        <f>IF(ISNUMBER('General Info'!$B$42), (SamplingData[[#This Row],[Running (cumulative) sum]] * ('General Info'!$B$42 -'General Info'!$B$43 + 1)) + 'General Info'!$B$43 - 1, 0)</f>
        <v>83026.489306054515</v>
      </c>
      <c r="AI333" s="100" t="str">
        <f>IF(ISERROR(MATCH(SamplingData[[#This Row],[Batch by Type (p)]],SelectedPrecincts[Batch Name], 0)), "", INDEX(SelectedPrecincts[Draw], MATCH(SamplingData[[#This Row],[Batch by Type (p)]],SelectedPrecincts[Batch Name], 0)))</f>
        <v/>
      </c>
      <c r="AJ333" s="101">
        <f>IF(COUNTIF(SelectedPrecincts[Batch Name],SamplingData[[#This Row],[Batch by Type (p)]]) &lt;&gt; 0, COUNTIF(SelectedPrecincts[Batch Name],SamplingData[[#This Row],[Batch by Type (p)]]), 0)</f>
        <v>0</v>
      </c>
    </row>
    <row r="334" spans="1:36" ht="15" customHeight="1" x14ac:dyDescent="0.35">
      <c r="A334" s="98" t="s">
        <v>545</v>
      </c>
      <c r="B334" s="98">
        <v>156</v>
      </c>
      <c r="C334" s="98">
        <v>24</v>
      </c>
      <c r="D334" s="93">
        <v>7</v>
      </c>
      <c r="E334" s="93"/>
      <c r="F334" s="93"/>
      <c r="G334" s="97"/>
      <c r="H334" s="97"/>
      <c r="I334" s="93"/>
      <c r="J334" s="93"/>
      <c r="K334" s="93"/>
      <c r="L334" s="93"/>
      <c r="M334" s="93"/>
      <c r="N334" s="98">
        <v>0</v>
      </c>
      <c r="O334" s="98">
        <v>2</v>
      </c>
      <c r="P334" s="99">
        <f>SUM(SamplingData[[#This Row],[Winning Candidate]:[Under Votes]])</f>
        <v>189</v>
      </c>
      <c r="Q334" s="100">
        <f>IF(AND(SamplingData[[#This Row],[Total]]&lt;&gt; 0, NOT(ISBLANK(SamplingData[[#This Row],[Losing Candidate]]))),(SamplingData[[#This Row],[Total]]+SamplingData[[#This Row],[Winning Candidate]]-SamplingData[[#This Row],[Losing Candidate]])/(SamplingData[[#Totals],[Winning Candidate]]-SamplingData[[#Totals],[Losing Candidate]]), 0)</f>
        <v>2.0289488654320207E-2</v>
      </c>
      <c r="R334" s="100">
        <f>IF(AND(SamplingData[[#This Row],[Total]]&lt;&gt; 0, NOT(ISBLANK(SamplingData[[#This Row],[Candidate 3]]))),(SamplingData[[#This Row],[Total]]+SamplingData[[#This Row],[Winning Candidate]]-SamplingData[[#This Row],[Candidate 3]])/(SamplingData[[#Totals],[Winning Candidate]]-SamplingData[[#Totals],[Candidate 3]]), 0)</f>
        <v>1.9078798825920073E-2</v>
      </c>
      <c r="S334" s="100">
        <f>IF(AND(SamplingData[[#This Row],[Total]]&lt;&gt; 0, NOT(ISBLANK(SamplingData[[#This Row],[Candidate 4]]))),(SamplingData[[#This Row],[Total]]+SamplingData[[#This Row],[Winning Candidate]]-SamplingData[[#This Row],[Candidate 4]])/(SamplingData[[#Totals],[Winning Candidate]]-SamplingData[[#Totals],[Candidate 4]]), 0)</f>
        <v>0</v>
      </c>
      <c r="T334" s="100">
        <f>IF(AND(SamplingData[[#This Row],[Total]]&lt;&gt; 0, NOT(ISBLANK(SamplingData[[#This Row],[Candidate 5]]))),(SamplingData[[#This Row],[Total]]+SamplingData[[#This Row],[Winning Candidate]]-SamplingData[[#This Row],[Candidate 5]])/(SamplingData[[#Totals],[Winning Candidate]]-SamplingData[[#Totals],[Candidate 5]]), 0)</f>
        <v>0</v>
      </c>
      <c r="U334" s="100">
        <f>IF(AND(SamplingData[[#This Row],[Total]]&lt;&gt; 0, NOT(ISBLANK(SamplingData[[#This Row],[Candidate 6]]))),(SamplingData[[#This Row],[Total]]+SamplingData[[#This Row],[Losing Candidate]]-SamplingData[[#This Row],[Candidate 6]])/(SamplingData[[#Totals],[Winning Candidate]]-SamplingData[[#Totals],[Candidate 6]]), 0)</f>
        <v>0</v>
      </c>
      <c r="V334" s="100">
        <f>IF(AND(SamplingData[[#This Row],[Total]]&lt;&gt; 0, NOT(ISBLANK(SamplingData[[#This Row],[Candidate 7]]))),(SamplingData[[#This Row],[Total]]+SamplingData[[#This Row],[Winning Candidate]]-SamplingData[[#This Row],[Candidate 7]])/(SamplingData[[#Totals],[Winning Candidate]]-SamplingData[[#Totals],[Candidate 7]]), 0)</f>
        <v>0</v>
      </c>
      <c r="W334" s="100">
        <f>IF(AND(SamplingData[[#This Row],[Total]]&lt;&gt; 0, NOT(ISBLANK(SamplingData[[#This Row],[Candidate 8]]))),(SamplingData[[#This Row],[Total]]+SamplingData[[#This Row],[Winning Candidate]]-SamplingData[[#This Row],[Candidate 8]])/(SamplingData[[#Totals],[Winning Candidate]]-SamplingData[[#Totals],[Candidate 8]]), 0)</f>
        <v>0</v>
      </c>
      <c r="X3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4" s="100">
        <f>MAX(SamplingData[[#This Row],[Error Bound (up) - Max. possible relative overstatement - Losing Candidate]:[Error Bound (up) - Max. possible relative overstatement - Candidate 12]])</f>
        <v>2.0289488654320207E-2</v>
      </c>
      <c r="AC334" s="100">
        <f>IF(SamplingData[[#This Row],[Max Error Bound (up)]] = 0,0,SamplingData[[#This Row],[Max Error Bound (up)]]/SamplingData[[#Totals],[Max Error Bound (up)]])</f>
        <v>8.2346015901600279E-3</v>
      </c>
      <c r="AD334" s="104">
        <f>SUM($AC$5:AC334)</f>
        <v>0.83850949465070512</v>
      </c>
      <c r="AE334" s="100" t="str" cm="1">
        <f t="array" ref="AE334">IF(SamplingData[[#This Row],[up/U Selection Probability]] = 0, "Zero", TEXT(SamplingData[[#This Row],[Lower Range]], REPT("0",LEN('General Info'!$B$42))) &amp; " - " &amp; TEXT(SamplingData[[#This Row],[Upper Range]], REPT("0",LEN('General Info'!$B$42))))</f>
        <v>83027 - 83850</v>
      </c>
      <c r="AF334" s="100">
        <f>SamplingData[[#This Row],[Upper Range]]-SamplingData[[#This Row],[Span]]</f>
        <v>83027.489306054515</v>
      </c>
      <c r="AG334" s="100">
        <f>IF(ISNUMBER('General Info'!$B$42), ((SamplingData[[#This Row],[up/U Selection Probability]]) * 'General Info'!$B$44) - 1, 0)</f>
        <v>822.46015901600276</v>
      </c>
      <c r="AH334" s="100">
        <f>IF(ISNUMBER('General Info'!$B$42), (SamplingData[[#This Row],[Running (cumulative) sum]] * ('General Info'!$B$42 -'General Info'!$B$43 + 1)) + 'General Info'!$B$43 - 1, 0)</f>
        <v>83849.949465070516</v>
      </c>
      <c r="AI334" s="100" t="str">
        <f>IF(ISERROR(MATCH(SamplingData[[#This Row],[Batch by Type (p)]],SelectedPrecincts[Batch Name], 0)), "", INDEX(SelectedPrecincts[Draw], MATCH(SamplingData[[#This Row],[Batch by Type (p)]],SelectedPrecincts[Batch Name], 0)))</f>
        <v/>
      </c>
      <c r="AJ334" s="101">
        <f>IF(COUNTIF(SelectedPrecincts[Batch Name],SamplingData[[#This Row],[Batch by Type (p)]]) &lt;&gt; 0, COUNTIF(SelectedPrecincts[Batch Name],SamplingData[[#This Row],[Batch by Type (p)]]), 0)</f>
        <v>0</v>
      </c>
    </row>
    <row r="335" spans="1:36" ht="15" customHeight="1" x14ac:dyDescent="0.35">
      <c r="A335" s="98" t="s">
        <v>546</v>
      </c>
      <c r="B335" s="98">
        <v>123</v>
      </c>
      <c r="C335" s="98">
        <v>33</v>
      </c>
      <c r="D335" s="93">
        <v>9</v>
      </c>
      <c r="E335" s="93"/>
      <c r="F335" s="93"/>
      <c r="G335" s="97"/>
      <c r="H335" s="97"/>
      <c r="I335" s="93"/>
      <c r="J335" s="93"/>
      <c r="K335" s="93"/>
      <c r="L335" s="93"/>
      <c r="M335" s="93"/>
      <c r="N335" s="98">
        <v>0</v>
      </c>
      <c r="O335" s="98">
        <v>0</v>
      </c>
      <c r="P335" s="99">
        <f>SUM(SamplingData[[#This Row],[Winning Candidate]:[Under Votes]])</f>
        <v>165</v>
      </c>
      <c r="Q335" s="100">
        <f>IF(AND(SamplingData[[#This Row],[Total]]&lt;&gt; 0, NOT(ISBLANK(SamplingData[[#This Row],[Losing Candidate]]))),(SamplingData[[#This Row],[Total]]+SamplingData[[#This Row],[Winning Candidate]]-SamplingData[[#This Row],[Losing Candidate]])/(SamplingData[[#Totals],[Winning Candidate]]-SamplingData[[#Totals],[Losing Candidate]]), 0)</f>
        <v>1.611781808988054E-2</v>
      </c>
      <c r="R335" s="100">
        <f>IF(AND(SamplingData[[#This Row],[Total]]&lt;&gt; 0, NOT(ISBLANK(SamplingData[[#This Row],[Candidate 3]]))),(SamplingData[[#This Row],[Total]]+SamplingData[[#This Row],[Winning Candidate]]-SamplingData[[#This Row],[Candidate 3]])/(SamplingData[[#Totals],[Winning Candidate]]-SamplingData[[#Totals],[Candidate 3]]), 0)</f>
        <v>1.5748475953939942E-2</v>
      </c>
      <c r="S335" s="100">
        <f>IF(AND(SamplingData[[#This Row],[Total]]&lt;&gt; 0, NOT(ISBLANK(SamplingData[[#This Row],[Candidate 4]]))),(SamplingData[[#This Row],[Total]]+SamplingData[[#This Row],[Winning Candidate]]-SamplingData[[#This Row],[Candidate 4]])/(SamplingData[[#Totals],[Winning Candidate]]-SamplingData[[#Totals],[Candidate 4]]), 0)</f>
        <v>0</v>
      </c>
      <c r="T335" s="100">
        <f>IF(AND(SamplingData[[#This Row],[Total]]&lt;&gt; 0, NOT(ISBLANK(SamplingData[[#This Row],[Candidate 5]]))),(SamplingData[[#This Row],[Total]]+SamplingData[[#This Row],[Winning Candidate]]-SamplingData[[#This Row],[Candidate 5]])/(SamplingData[[#Totals],[Winning Candidate]]-SamplingData[[#Totals],[Candidate 5]]), 0)</f>
        <v>0</v>
      </c>
      <c r="U335" s="100">
        <f>IF(AND(SamplingData[[#This Row],[Total]]&lt;&gt; 0, NOT(ISBLANK(SamplingData[[#This Row],[Candidate 6]]))),(SamplingData[[#This Row],[Total]]+SamplingData[[#This Row],[Losing Candidate]]-SamplingData[[#This Row],[Candidate 6]])/(SamplingData[[#Totals],[Winning Candidate]]-SamplingData[[#Totals],[Candidate 6]]), 0)</f>
        <v>0</v>
      </c>
      <c r="V335" s="100">
        <f>IF(AND(SamplingData[[#This Row],[Total]]&lt;&gt; 0, NOT(ISBLANK(SamplingData[[#This Row],[Candidate 7]]))),(SamplingData[[#This Row],[Total]]+SamplingData[[#This Row],[Winning Candidate]]-SamplingData[[#This Row],[Candidate 7]])/(SamplingData[[#Totals],[Winning Candidate]]-SamplingData[[#Totals],[Candidate 7]]), 0)</f>
        <v>0</v>
      </c>
      <c r="W335" s="100">
        <f>IF(AND(SamplingData[[#This Row],[Total]]&lt;&gt; 0, NOT(ISBLANK(SamplingData[[#This Row],[Candidate 8]]))),(SamplingData[[#This Row],[Total]]+SamplingData[[#This Row],[Winning Candidate]]-SamplingData[[#This Row],[Candidate 8]])/(SamplingData[[#Totals],[Winning Candidate]]-SamplingData[[#Totals],[Candidate 8]]), 0)</f>
        <v>0</v>
      </c>
      <c r="X3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5" s="100">
        <f>MAX(SamplingData[[#This Row],[Error Bound (up) - Max. possible relative overstatement - Losing Candidate]:[Error Bound (up) - Max. possible relative overstatement - Candidate 12]])</f>
        <v>1.611781808988054E-2</v>
      </c>
      <c r="AC335" s="100">
        <f>IF(SamplingData[[#This Row],[Max Error Bound (up)]] = 0,0,SamplingData[[#This Row],[Max Error Bound (up)]]/SamplingData[[#Totals],[Max Error Bound (up)]])</f>
        <v>6.5415059361084334E-3</v>
      </c>
      <c r="AD335" s="104">
        <f>SUM($AC$5:AC335)</f>
        <v>0.84505100058681359</v>
      </c>
      <c r="AE335" s="100" t="str" cm="1">
        <f t="array" ref="AE335">IF(SamplingData[[#This Row],[up/U Selection Probability]] = 0, "Zero", TEXT(SamplingData[[#This Row],[Lower Range]], REPT("0",LEN('General Info'!$B$42))) &amp; " - " &amp; TEXT(SamplingData[[#This Row],[Upper Range]], REPT("0",LEN('General Info'!$B$42))))</f>
        <v>83851 - 84504</v>
      </c>
      <c r="AF335" s="100">
        <f>SamplingData[[#This Row],[Upper Range]]-SamplingData[[#This Row],[Span]]</f>
        <v>83850.949465070516</v>
      </c>
      <c r="AG335" s="100">
        <f>IF(ISNUMBER('General Info'!$B$42), ((SamplingData[[#This Row],[up/U Selection Probability]]) * 'General Info'!$B$44) - 1, 0)</f>
        <v>653.15059361084332</v>
      </c>
      <c r="AH335" s="100">
        <f>IF(ISNUMBER('General Info'!$B$42), (SamplingData[[#This Row],[Running (cumulative) sum]] * ('General Info'!$B$42 -'General Info'!$B$43 + 1)) + 'General Info'!$B$43 - 1, 0)</f>
        <v>84504.100058681361</v>
      </c>
      <c r="AI335" s="100" t="str">
        <f>IF(ISERROR(MATCH(SamplingData[[#This Row],[Batch by Type (p)]],SelectedPrecincts[Batch Name], 0)), "", INDEX(SelectedPrecincts[Draw], MATCH(SamplingData[[#This Row],[Batch by Type (p)]],SelectedPrecincts[Batch Name], 0)))</f>
        <v/>
      </c>
      <c r="AJ335" s="101">
        <f>IF(COUNTIF(SelectedPrecincts[Batch Name],SamplingData[[#This Row],[Batch by Type (p)]]) &lt;&gt; 0, COUNTIF(SelectedPrecincts[Batch Name],SamplingData[[#This Row],[Batch by Type (p)]]), 0)</f>
        <v>0</v>
      </c>
    </row>
    <row r="336" spans="1:36" ht="15" customHeight="1" x14ac:dyDescent="0.35">
      <c r="A336" s="98" t="s">
        <v>547</v>
      </c>
      <c r="B336" s="98">
        <v>82</v>
      </c>
      <c r="C336" s="98">
        <v>17</v>
      </c>
      <c r="D336" s="93">
        <v>5</v>
      </c>
      <c r="E336" s="93"/>
      <c r="F336" s="93"/>
      <c r="G336" s="97"/>
      <c r="H336" s="97"/>
      <c r="I336" s="93"/>
      <c r="J336" s="93"/>
      <c r="K336" s="93"/>
      <c r="L336" s="93"/>
      <c r="M336" s="93"/>
      <c r="N336" s="98">
        <v>0</v>
      </c>
      <c r="O336" s="98">
        <v>0</v>
      </c>
      <c r="P336" s="99">
        <f>SUM(SamplingData[[#This Row],[Winning Candidate]:[Under Votes]])</f>
        <v>104</v>
      </c>
      <c r="Q336" s="100">
        <f>IF(AND(SamplingData[[#This Row],[Total]]&lt;&gt; 0, NOT(ISBLANK(SamplingData[[#This Row],[Losing Candidate]]))),(SamplingData[[#This Row],[Total]]+SamplingData[[#This Row],[Winning Candidate]]-SamplingData[[#This Row],[Losing Candidate]])/(SamplingData[[#Totals],[Winning Candidate]]-SamplingData[[#Totals],[Losing Candidate]]), 0)</f>
        <v>1.0682004930156122E-2</v>
      </c>
      <c r="R336" s="100">
        <f>IF(AND(SamplingData[[#This Row],[Total]]&lt;&gt; 0, NOT(ISBLANK(SamplingData[[#This Row],[Candidate 3]]))),(SamplingData[[#This Row],[Total]]+SamplingData[[#This Row],[Winning Candidate]]-SamplingData[[#This Row],[Candidate 3]])/(SamplingData[[#Totals],[Winning Candidate]]-SamplingData[[#Totals],[Candidate 3]]), 0)</f>
        <v>1.021675321743057E-2</v>
      </c>
      <c r="S336" s="100">
        <f>IF(AND(SamplingData[[#This Row],[Total]]&lt;&gt; 0, NOT(ISBLANK(SamplingData[[#This Row],[Candidate 4]]))),(SamplingData[[#This Row],[Total]]+SamplingData[[#This Row],[Winning Candidate]]-SamplingData[[#This Row],[Candidate 4]])/(SamplingData[[#Totals],[Winning Candidate]]-SamplingData[[#Totals],[Candidate 4]]), 0)</f>
        <v>0</v>
      </c>
      <c r="T336" s="100">
        <f>IF(AND(SamplingData[[#This Row],[Total]]&lt;&gt; 0, NOT(ISBLANK(SamplingData[[#This Row],[Candidate 5]]))),(SamplingData[[#This Row],[Total]]+SamplingData[[#This Row],[Winning Candidate]]-SamplingData[[#This Row],[Candidate 5]])/(SamplingData[[#Totals],[Winning Candidate]]-SamplingData[[#Totals],[Candidate 5]]), 0)</f>
        <v>0</v>
      </c>
      <c r="U336" s="100">
        <f>IF(AND(SamplingData[[#This Row],[Total]]&lt;&gt; 0, NOT(ISBLANK(SamplingData[[#This Row],[Candidate 6]]))),(SamplingData[[#This Row],[Total]]+SamplingData[[#This Row],[Losing Candidate]]-SamplingData[[#This Row],[Candidate 6]])/(SamplingData[[#Totals],[Winning Candidate]]-SamplingData[[#Totals],[Candidate 6]]), 0)</f>
        <v>0</v>
      </c>
      <c r="V336" s="100">
        <f>IF(AND(SamplingData[[#This Row],[Total]]&lt;&gt; 0, NOT(ISBLANK(SamplingData[[#This Row],[Candidate 7]]))),(SamplingData[[#This Row],[Total]]+SamplingData[[#This Row],[Winning Candidate]]-SamplingData[[#This Row],[Candidate 7]])/(SamplingData[[#Totals],[Winning Candidate]]-SamplingData[[#Totals],[Candidate 7]]), 0)</f>
        <v>0</v>
      </c>
      <c r="W336" s="100">
        <f>IF(AND(SamplingData[[#This Row],[Total]]&lt;&gt; 0, NOT(ISBLANK(SamplingData[[#This Row],[Candidate 8]]))),(SamplingData[[#This Row],[Total]]+SamplingData[[#This Row],[Winning Candidate]]-SamplingData[[#This Row],[Candidate 8]])/(SamplingData[[#Totals],[Winning Candidate]]-SamplingData[[#Totals],[Candidate 8]]), 0)</f>
        <v>0</v>
      </c>
      <c r="X3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6" s="100">
        <f>MAX(SamplingData[[#This Row],[Error Bound (up) - Max. possible relative overstatement - Losing Candidate]:[Error Bound (up) - Max. possible relative overstatement - Candidate 12]])</f>
        <v>1.0682004930156122E-2</v>
      </c>
      <c r="AC336" s="100">
        <f>IF(SamplingData[[#This Row],[Max Error Bound (up)]] = 0,0,SamplingData[[#This Row],[Max Error Bound (up)]]/SamplingData[[#Totals],[Max Error Bound (up)]])</f>
        <v>4.3353509929502949E-3</v>
      </c>
      <c r="AD336" s="104">
        <f>SUM($AC$5:AC336)</f>
        <v>0.84938635157976394</v>
      </c>
      <c r="AE336" s="100" t="str" cm="1">
        <f t="array" ref="AE336">IF(SamplingData[[#This Row],[up/U Selection Probability]] = 0, "Zero", TEXT(SamplingData[[#This Row],[Lower Range]], REPT("0",LEN('General Info'!$B$42))) &amp; " - " &amp; TEXT(SamplingData[[#This Row],[Upper Range]], REPT("0",LEN('General Info'!$B$42))))</f>
        <v>84505 - 84938</v>
      </c>
      <c r="AF336" s="100">
        <f>SamplingData[[#This Row],[Upper Range]]-SamplingData[[#This Row],[Span]]</f>
        <v>84505.100058681375</v>
      </c>
      <c r="AG336" s="100">
        <f>IF(ISNUMBER('General Info'!$B$42), ((SamplingData[[#This Row],[up/U Selection Probability]]) * 'General Info'!$B$44) - 1, 0)</f>
        <v>432.53509929502951</v>
      </c>
      <c r="AH336" s="100">
        <f>IF(ISNUMBER('General Info'!$B$42), (SamplingData[[#This Row],[Running (cumulative) sum]] * ('General Info'!$B$42 -'General Info'!$B$43 + 1)) + 'General Info'!$B$43 - 1, 0)</f>
        <v>84937.635157976401</v>
      </c>
      <c r="AI336" s="100" t="str">
        <f>IF(ISERROR(MATCH(SamplingData[[#This Row],[Batch by Type (p)]],SelectedPrecincts[Batch Name], 0)), "", INDEX(SelectedPrecincts[Draw], MATCH(SamplingData[[#This Row],[Batch by Type (p)]],SelectedPrecincts[Batch Name], 0)))</f>
        <v/>
      </c>
      <c r="AJ336" s="101">
        <f>IF(COUNTIF(SelectedPrecincts[Batch Name],SamplingData[[#This Row],[Batch by Type (p)]]) &lt;&gt; 0, COUNTIF(SelectedPrecincts[Batch Name],SamplingData[[#This Row],[Batch by Type (p)]]), 0)</f>
        <v>0</v>
      </c>
    </row>
    <row r="337" spans="1:36" ht="15" customHeight="1" x14ac:dyDescent="0.35">
      <c r="A337" s="98" t="s">
        <v>548</v>
      </c>
      <c r="B337" s="98">
        <v>161</v>
      </c>
      <c r="C337" s="98">
        <v>9</v>
      </c>
      <c r="D337" s="93">
        <v>3</v>
      </c>
      <c r="E337" s="93"/>
      <c r="F337" s="93"/>
      <c r="G337" s="97"/>
      <c r="H337" s="97"/>
      <c r="I337" s="93"/>
      <c r="J337" s="93"/>
      <c r="K337" s="93"/>
      <c r="L337" s="93"/>
      <c r="M337" s="93"/>
      <c r="N337" s="98">
        <v>0</v>
      </c>
      <c r="O337" s="98">
        <v>4</v>
      </c>
      <c r="P337" s="99">
        <f>SUM(SamplingData[[#This Row],[Winning Candidate]:[Under Votes]])</f>
        <v>177</v>
      </c>
      <c r="Q337" s="100">
        <f>IF(AND(SamplingData[[#This Row],[Total]]&lt;&gt; 0, NOT(ISBLANK(SamplingData[[#This Row],[Losing Candidate]]))),(SamplingData[[#This Row],[Total]]+SamplingData[[#This Row],[Winning Candidate]]-SamplingData[[#This Row],[Losing Candidate]])/(SamplingData[[#Totals],[Winning Candidate]]-SamplingData[[#Totals],[Losing Candidate]]), 0)</f>
        <v>2.0795145692434108E-2</v>
      </c>
      <c r="R337" s="100">
        <f>IF(AND(SamplingData[[#This Row],[Total]]&lt;&gt; 0, NOT(ISBLANK(SamplingData[[#This Row],[Candidate 3]]))),(SamplingData[[#This Row],[Total]]+SamplingData[[#This Row],[Winning Candidate]]-SamplingData[[#This Row],[Candidate 3]])/(SamplingData[[#Totals],[Winning Candidate]]-SamplingData[[#Totals],[Candidate 3]]), 0)</f>
        <v>1.8909460374802439E-2</v>
      </c>
      <c r="S337" s="100">
        <f>IF(AND(SamplingData[[#This Row],[Total]]&lt;&gt; 0, NOT(ISBLANK(SamplingData[[#This Row],[Candidate 4]]))),(SamplingData[[#This Row],[Total]]+SamplingData[[#This Row],[Winning Candidate]]-SamplingData[[#This Row],[Candidate 4]])/(SamplingData[[#Totals],[Winning Candidate]]-SamplingData[[#Totals],[Candidate 4]]), 0)</f>
        <v>0</v>
      </c>
      <c r="T337" s="100">
        <f>IF(AND(SamplingData[[#This Row],[Total]]&lt;&gt; 0, NOT(ISBLANK(SamplingData[[#This Row],[Candidate 5]]))),(SamplingData[[#This Row],[Total]]+SamplingData[[#This Row],[Winning Candidate]]-SamplingData[[#This Row],[Candidate 5]])/(SamplingData[[#Totals],[Winning Candidate]]-SamplingData[[#Totals],[Candidate 5]]), 0)</f>
        <v>0</v>
      </c>
      <c r="U337" s="100">
        <f>IF(AND(SamplingData[[#This Row],[Total]]&lt;&gt; 0, NOT(ISBLANK(SamplingData[[#This Row],[Candidate 6]]))),(SamplingData[[#This Row],[Total]]+SamplingData[[#This Row],[Losing Candidate]]-SamplingData[[#This Row],[Candidate 6]])/(SamplingData[[#Totals],[Winning Candidate]]-SamplingData[[#Totals],[Candidate 6]]), 0)</f>
        <v>0</v>
      </c>
      <c r="V337" s="100">
        <f>IF(AND(SamplingData[[#This Row],[Total]]&lt;&gt; 0, NOT(ISBLANK(SamplingData[[#This Row],[Candidate 7]]))),(SamplingData[[#This Row],[Total]]+SamplingData[[#This Row],[Winning Candidate]]-SamplingData[[#This Row],[Candidate 7]])/(SamplingData[[#Totals],[Winning Candidate]]-SamplingData[[#Totals],[Candidate 7]]), 0)</f>
        <v>0</v>
      </c>
      <c r="W337" s="100">
        <f>IF(AND(SamplingData[[#This Row],[Total]]&lt;&gt; 0, NOT(ISBLANK(SamplingData[[#This Row],[Candidate 8]]))),(SamplingData[[#This Row],[Total]]+SamplingData[[#This Row],[Winning Candidate]]-SamplingData[[#This Row],[Candidate 8]])/(SamplingData[[#Totals],[Winning Candidate]]-SamplingData[[#Totals],[Candidate 8]]), 0)</f>
        <v>0</v>
      </c>
      <c r="X3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7" s="100">
        <f>MAX(SamplingData[[#This Row],[Error Bound (up) - Max. possible relative overstatement - Losing Candidate]:[Error Bound (up) - Max. possible relative overstatement - Candidate 12]])</f>
        <v>2.0795145692434108E-2</v>
      </c>
      <c r="AC337" s="100">
        <f>IF(SamplingData[[#This Row],[Max Error Bound (up)]] = 0,0,SamplingData[[#This Row],[Max Error Bound (up)]]/SamplingData[[#Totals],[Max Error Bound (up)]])</f>
        <v>8.4398253058026451E-3</v>
      </c>
      <c r="AD337" s="104">
        <f>SUM($AC$5:AC337)</f>
        <v>0.85782617688556662</v>
      </c>
      <c r="AE337" s="100" t="str" cm="1">
        <f t="array" ref="AE337">IF(SamplingData[[#This Row],[up/U Selection Probability]] = 0, "Zero", TEXT(SamplingData[[#This Row],[Lower Range]], REPT("0",LEN('General Info'!$B$42))) &amp; " - " &amp; TEXT(SamplingData[[#This Row],[Upper Range]], REPT("0",LEN('General Info'!$B$42))))</f>
        <v>84939 - 85782</v>
      </c>
      <c r="AF337" s="100">
        <f>SamplingData[[#This Row],[Upper Range]]-SamplingData[[#This Row],[Span]]</f>
        <v>84938.635157976401</v>
      </c>
      <c r="AG337" s="100">
        <f>IF(ISNUMBER('General Info'!$B$42), ((SamplingData[[#This Row],[up/U Selection Probability]]) * 'General Info'!$B$44) - 1, 0)</f>
        <v>842.98253058026455</v>
      </c>
      <c r="AH337" s="100">
        <f>IF(ISNUMBER('General Info'!$B$42), (SamplingData[[#This Row],[Running (cumulative) sum]] * ('General Info'!$B$42 -'General Info'!$B$43 + 1)) + 'General Info'!$B$43 - 1, 0)</f>
        <v>85781.617688556667</v>
      </c>
      <c r="AI337" s="100" t="str">
        <f>IF(ISERROR(MATCH(SamplingData[[#This Row],[Batch by Type (p)]],SelectedPrecincts[Batch Name], 0)), "", INDEX(SelectedPrecincts[Draw], MATCH(SamplingData[[#This Row],[Batch by Type (p)]],SelectedPrecincts[Batch Name], 0)))</f>
        <v/>
      </c>
      <c r="AJ337" s="101">
        <f>IF(COUNTIF(SelectedPrecincts[Batch Name],SamplingData[[#This Row],[Batch by Type (p)]]) &lt;&gt; 0, COUNTIF(SelectedPrecincts[Batch Name],SamplingData[[#This Row],[Batch by Type (p)]]), 0)</f>
        <v>0</v>
      </c>
    </row>
    <row r="338" spans="1:36" ht="15" customHeight="1" x14ac:dyDescent="0.35">
      <c r="A338" s="98" t="s">
        <v>549</v>
      </c>
      <c r="B338" s="98">
        <v>40</v>
      </c>
      <c r="C338" s="98">
        <v>7</v>
      </c>
      <c r="D338" s="93">
        <v>4</v>
      </c>
      <c r="E338" s="93"/>
      <c r="F338" s="93"/>
      <c r="G338" s="97"/>
      <c r="H338" s="97"/>
      <c r="I338" s="93"/>
      <c r="J338" s="93"/>
      <c r="K338" s="93"/>
      <c r="L338" s="93"/>
      <c r="M338" s="93"/>
      <c r="N338" s="98">
        <v>0</v>
      </c>
      <c r="O338" s="98">
        <v>0</v>
      </c>
      <c r="P338" s="99">
        <f>SUM(SamplingData[[#This Row],[Winning Candidate]:[Under Votes]])</f>
        <v>51</v>
      </c>
      <c r="Q338" s="100">
        <f>IF(AND(SamplingData[[#This Row],[Total]]&lt;&gt; 0, NOT(ISBLANK(SamplingData[[#This Row],[Losing Candidate]]))),(SamplingData[[#This Row],[Total]]+SamplingData[[#This Row],[Winning Candidate]]-SamplingData[[#This Row],[Losing Candidate]])/(SamplingData[[#Totals],[Winning Candidate]]-SamplingData[[#Totals],[Losing Candidate]]), 0)</f>
        <v>5.309398900195942E-3</v>
      </c>
      <c r="R338" s="100">
        <f>IF(AND(SamplingData[[#This Row],[Total]]&lt;&gt; 0, NOT(ISBLANK(SamplingData[[#This Row],[Candidate 3]]))),(SamplingData[[#This Row],[Total]]+SamplingData[[#This Row],[Winning Candidate]]-SamplingData[[#This Row],[Candidate 3]])/(SamplingData[[#Totals],[Winning Candidate]]-SamplingData[[#Totals],[Candidate 3]]), 0)</f>
        <v>4.9108150824113796E-3</v>
      </c>
      <c r="S338" s="100">
        <f>IF(AND(SamplingData[[#This Row],[Total]]&lt;&gt; 0, NOT(ISBLANK(SamplingData[[#This Row],[Candidate 4]]))),(SamplingData[[#This Row],[Total]]+SamplingData[[#This Row],[Winning Candidate]]-SamplingData[[#This Row],[Candidate 4]])/(SamplingData[[#Totals],[Winning Candidate]]-SamplingData[[#Totals],[Candidate 4]]), 0)</f>
        <v>0</v>
      </c>
      <c r="T338" s="100">
        <f>IF(AND(SamplingData[[#This Row],[Total]]&lt;&gt; 0, NOT(ISBLANK(SamplingData[[#This Row],[Candidate 5]]))),(SamplingData[[#This Row],[Total]]+SamplingData[[#This Row],[Winning Candidate]]-SamplingData[[#This Row],[Candidate 5]])/(SamplingData[[#Totals],[Winning Candidate]]-SamplingData[[#Totals],[Candidate 5]]), 0)</f>
        <v>0</v>
      </c>
      <c r="U338" s="100">
        <f>IF(AND(SamplingData[[#This Row],[Total]]&lt;&gt; 0, NOT(ISBLANK(SamplingData[[#This Row],[Candidate 6]]))),(SamplingData[[#This Row],[Total]]+SamplingData[[#This Row],[Losing Candidate]]-SamplingData[[#This Row],[Candidate 6]])/(SamplingData[[#Totals],[Winning Candidate]]-SamplingData[[#Totals],[Candidate 6]]), 0)</f>
        <v>0</v>
      </c>
      <c r="V338" s="100">
        <f>IF(AND(SamplingData[[#This Row],[Total]]&lt;&gt; 0, NOT(ISBLANK(SamplingData[[#This Row],[Candidate 7]]))),(SamplingData[[#This Row],[Total]]+SamplingData[[#This Row],[Winning Candidate]]-SamplingData[[#This Row],[Candidate 7]])/(SamplingData[[#Totals],[Winning Candidate]]-SamplingData[[#Totals],[Candidate 7]]), 0)</f>
        <v>0</v>
      </c>
      <c r="W338" s="100">
        <f>IF(AND(SamplingData[[#This Row],[Total]]&lt;&gt; 0, NOT(ISBLANK(SamplingData[[#This Row],[Candidate 8]]))),(SamplingData[[#This Row],[Total]]+SamplingData[[#This Row],[Winning Candidate]]-SamplingData[[#This Row],[Candidate 8]])/(SamplingData[[#Totals],[Winning Candidate]]-SamplingData[[#Totals],[Candidate 8]]), 0)</f>
        <v>0</v>
      </c>
      <c r="X3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8" s="100">
        <f>MAX(SamplingData[[#This Row],[Error Bound (up) - Max. possible relative overstatement - Losing Candidate]:[Error Bound (up) - Max. possible relative overstatement - Candidate 12]])</f>
        <v>5.309398900195942E-3</v>
      </c>
      <c r="AC338" s="100">
        <f>IF(SamplingData[[#This Row],[Max Error Bound (up)]] = 0,0,SamplingData[[#This Row],[Max Error Bound (up)]]/SamplingData[[#Totals],[Max Error Bound (up)]])</f>
        <v>2.1548490142474837E-3</v>
      </c>
      <c r="AD338" s="104">
        <f>SUM($AC$5:AC338)</f>
        <v>0.85998102589981407</v>
      </c>
      <c r="AE338" s="100" t="str" cm="1">
        <f t="array" ref="AE338">IF(SamplingData[[#This Row],[up/U Selection Probability]] = 0, "Zero", TEXT(SamplingData[[#This Row],[Lower Range]], REPT("0",LEN('General Info'!$B$42))) &amp; " - " &amp; TEXT(SamplingData[[#This Row],[Upper Range]], REPT("0",LEN('General Info'!$B$42))))</f>
        <v>85783 - 85997</v>
      </c>
      <c r="AF338" s="100">
        <f>SamplingData[[#This Row],[Upper Range]]-SamplingData[[#This Row],[Span]]</f>
        <v>85782.617688556667</v>
      </c>
      <c r="AG338" s="100">
        <f>IF(ISNUMBER('General Info'!$B$42), ((SamplingData[[#This Row],[up/U Selection Probability]]) * 'General Info'!$B$44) - 1, 0)</f>
        <v>214.48490142474839</v>
      </c>
      <c r="AH338" s="100">
        <f>IF(ISNUMBER('General Info'!$B$42), (SamplingData[[#This Row],[Running (cumulative) sum]] * ('General Info'!$B$42 -'General Info'!$B$43 + 1)) + 'General Info'!$B$43 - 1, 0)</f>
        <v>85997.102589981412</v>
      </c>
      <c r="AI338" s="100" t="str">
        <f>IF(ISERROR(MATCH(SamplingData[[#This Row],[Batch by Type (p)]],SelectedPrecincts[Batch Name], 0)), "", INDEX(SelectedPrecincts[Draw], MATCH(SamplingData[[#This Row],[Batch by Type (p)]],SelectedPrecincts[Batch Name], 0)))</f>
        <v/>
      </c>
      <c r="AJ338" s="101">
        <f>IF(COUNTIF(SelectedPrecincts[Batch Name],SamplingData[[#This Row],[Batch by Type (p)]]) &lt;&gt; 0, COUNTIF(SelectedPrecincts[Batch Name],SamplingData[[#This Row],[Batch by Type (p)]]), 0)</f>
        <v>0</v>
      </c>
    </row>
    <row r="339" spans="1:36" ht="15" customHeight="1" x14ac:dyDescent="0.35">
      <c r="A339" s="98" t="s">
        <v>550</v>
      </c>
      <c r="B339" s="98">
        <v>88</v>
      </c>
      <c r="C339" s="98">
        <v>7</v>
      </c>
      <c r="D339" s="93">
        <v>1</v>
      </c>
      <c r="E339" s="93"/>
      <c r="F339" s="93"/>
      <c r="G339" s="97"/>
      <c r="H339" s="97"/>
      <c r="I339" s="93"/>
      <c r="J339" s="93"/>
      <c r="K339" s="93"/>
      <c r="L339" s="93"/>
      <c r="M339" s="93"/>
      <c r="N339" s="98">
        <v>0</v>
      </c>
      <c r="O339" s="98">
        <v>1</v>
      </c>
      <c r="P339" s="99">
        <f>SUM(SamplingData[[#This Row],[Winning Candidate]:[Under Votes]])</f>
        <v>97</v>
      </c>
      <c r="Q339" s="100">
        <f>IF(AND(SamplingData[[#This Row],[Total]]&lt;&gt; 0, NOT(ISBLANK(SamplingData[[#This Row],[Losing Candidate]]))),(SamplingData[[#This Row],[Total]]+SamplingData[[#This Row],[Winning Candidate]]-SamplingData[[#This Row],[Losing Candidate]])/(SamplingData[[#Totals],[Winning Candidate]]-SamplingData[[#Totals],[Losing Candidate]]), 0)</f>
        <v>1.1250869098034258E-2</v>
      </c>
      <c r="R339" s="100">
        <f>IF(AND(SamplingData[[#This Row],[Total]]&lt;&gt; 0, NOT(ISBLANK(SamplingData[[#This Row],[Candidate 3]]))),(SamplingData[[#This Row],[Total]]+SamplingData[[#This Row],[Winning Candidate]]-SamplingData[[#This Row],[Candidate 3]])/(SamplingData[[#Totals],[Winning Candidate]]-SamplingData[[#Totals],[Candidate 3]]), 0)</f>
        <v>1.0386091668548205E-2</v>
      </c>
      <c r="S339" s="100">
        <f>IF(AND(SamplingData[[#This Row],[Total]]&lt;&gt; 0, NOT(ISBLANK(SamplingData[[#This Row],[Candidate 4]]))),(SamplingData[[#This Row],[Total]]+SamplingData[[#This Row],[Winning Candidate]]-SamplingData[[#This Row],[Candidate 4]])/(SamplingData[[#Totals],[Winning Candidate]]-SamplingData[[#Totals],[Candidate 4]]), 0)</f>
        <v>0</v>
      </c>
      <c r="T339" s="100">
        <f>IF(AND(SamplingData[[#This Row],[Total]]&lt;&gt; 0, NOT(ISBLANK(SamplingData[[#This Row],[Candidate 5]]))),(SamplingData[[#This Row],[Total]]+SamplingData[[#This Row],[Winning Candidate]]-SamplingData[[#This Row],[Candidate 5]])/(SamplingData[[#Totals],[Winning Candidate]]-SamplingData[[#Totals],[Candidate 5]]), 0)</f>
        <v>0</v>
      </c>
      <c r="U339" s="100">
        <f>IF(AND(SamplingData[[#This Row],[Total]]&lt;&gt; 0, NOT(ISBLANK(SamplingData[[#This Row],[Candidate 6]]))),(SamplingData[[#This Row],[Total]]+SamplingData[[#This Row],[Losing Candidate]]-SamplingData[[#This Row],[Candidate 6]])/(SamplingData[[#Totals],[Winning Candidate]]-SamplingData[[#Totals],[Candidate 6]]), 0)</f>
        <v>0</v>
      </c>
      <c r="V339" s="100">
        <f>IF(AND(SamplingData[[#This Row],[Total]]&lt;&gt; 0, NOT(ISBLANK(SamplingData[[#This Row],[Candidate 7]]))),(SamplingData[[#This Row],[Total]]+SamplingData[[#This Row],[Winning Candidate]]-SamplingData[[#This Row],[Candidate 7]])/(SamplingData[[#Totals],[Winning Candidate]]-SamplingData[[#Totals],[Candidate 7]]), 0)</f>
        <v>0</v>
      </c>
      <c r="W339" s="100">
        <f>IF(AND(SamplingData[[#This Row],[Total]]&lt;&gt; 0, NOT(ISBLANK(SamplingData[[#This Row],[Candidate 8]]))),(SamplingData[[#This Row],[Total]]+SamplingData[[#This Row],[Winning Candidate]]-SamplingData[[#This Row],[Candidate 8]])/(SamplingData[[#Totals],[Winning Candidate]]-SamplingData[[#Totals],[Candidate 8]]), 0)</f>
        <v>0</v>
      </c>
      <c r="X3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9" s="100">
        <f>MAX(SamplingData[[#This Row],[Error Bound (up) - Max. possible relative overstatement - Losing Candidate]:[Error Bound (up) - Max. possible relative overstatement - Candidate 12]])</f>
        <v>1.1250869098034258E-2</v>
      </c>
      <c r="AC339" s="100">
        <f>IF(SamplingData[[#This Row],[Max Error Bound (up)]] = 0,0,SamplingData[[#This Row],[Max Error Bound (up)]]/SamplingData[[#Totals],[Max Error Bound (up)]])</f>
        <v>4.5662276730482395E-3</v>
      </c>
      <c r="AD339" s="104">
        <f>SUM($AC$5:AC339)</f>
        <v>0.86454725357286233</v>
      </c>
      <c r="AE339" s="100" t="str" cm="1">
        <f t="array" ref="AE339">IF(SamplingData[[#This Row],[up/U Selection Probability]] = 0, "Zero", TEXT(SamplingData[[#This Row],[Lower Range]], REPT("0",LEN('General Info'!$B$42))) &amp; " - " &amp; TEXT(SamplingData[[#This Row],[Upper Range]], REPT("0",LEN('General Info'!$B$42))))</f>
        <v>85998 - 86454</v>
      </c>
      <c r="AF339" s="100">
        <f>SamplingData[[#This Row],[Upper Range]]-SamplingData[[#This Row],[Span]]</f>
        <v>85998.102589981412</v>
      </c>
      <c r="AG339" s="100">
        <f>IF(ISNUMBER('General Info'!$B$42), ((SamplingData[[#This Row],[up/U Selection Probability]]) * 'General Info'!$B$44) - 1, 0)</f>
        <v>455.62276730482392</v>
      </c>
      <c r="AH339" s="100">
        <f>IF(ISNUMBER('General Info'!$B$42), (SamplingData[[#This Row],[Running (cumulative) sum]] * ('General Info'!$B$42 -'General Info'!$B$43 + 1)) + 'General Info'!$B$43 - 1, 0)</f>
        <v>86453.725357286239</v>
      </c>
      <c r="AI339" s="100" t="str">
        <f>IF(ISERROR(MATCH(SamplingData[[#This Row],[Batch by Type (p)]],SelectedPrecincts[Batch Name], 0)), "", INDEX(SelectedPrecincts[Draw], MATCH(SamplingData[[#This Row],[Batch by Type (p)]],SelectedPrecincts[Batch Name], 0)))</f>
        <v/>
      </c>
      <c r="AJ339" s="101">
        <f>IF(COUNTIF(SelectedPrecincts[Batch Name],SamplingData[[#This Row],[Batch by Type (p)]]) &lt;&gt; 0, COUNTIF(SelectedPrecincts[Batch Name],SamplingData[[#This Row],[Batch by Type (p)]]), 0)</f>
        <v>0</v>
      </c>
    </row>
    <row r="340" spans="1:36" ht="15" customHeight="1" x14ac:dyDescent="0.35">
      <c r="A340" s="98" t="s">
        <v>551</v>
      </c>
      <c r="B340" s="98">
        <v>171</v>
      </c>
      <c r="C340" s="98">
        <v>22</v>
      </c>
      <c r="D340" s="93">
        <v>7</v>
      </c>
      <c r="E340" s="93"/>
      <c r="F340" s="93"/>
      <c r="G340" s="97"/>
      <c r="H340" s="97"/>
      <c r="I340" s="93"/>
      <c r="J340" s="93"/>
      <c r="K340" s="93"/>
      <c r="L340" s="93"/>
      <c r="M340" s="93"/>
      <c r="N340" s="98">
        <v>0</v>
      </c>
      <c r="O340" s="98">
        <v>1</v>
      </c>
      <c r="P340" s="99">
        <f>SUM(SamplingData[[#This Row],[Winning Candidate]:[Under Votes]])</f>
        <v>201</v>
      </c>
      <c r="Q340" s="100">
        <f>IF(AND(SamplingData[[#This Row],[Total]]&lt;&gt; 0, NOT(ISBLANK(SamplingData[[#This Row],[Losing Candidate]]))),(SamplingData[[#This Row],[Total]]+SamplingData[[#This Row],[Winning Candidate]]-SamplingData[[#This Row],[Losing Candidate]])/(SamplingData[[#Totals],[Winning Candidate]]-SamplingData[[#Totals],[Losing Candidate]]), 0)</f>
        <v>2.2122495417483092E-2</v>
      </c>
      <c r="R340" s="100">
        <f>IF(AND(SamplingData[[#This Row],[Total]]&lt;&gt; 0, NOT(ISBLANK(SamplingData[[#This Row],[Candidate 3]]))),(SamplingData[[#This Row],[Total]]+SamplingData[[#This Row],[Winning Candidate]]-SamplingData[[#This Row],[Candidate 3]])/(SamplingData[[#Totals],[Winning Candidate]]-SamplingData[[#Totals],[Candidate 3]]), 0)</f>
        <v>2.0602844885978775E-2</v>
      </c>
      <c r="S340" s="100">
        <f>IF(AND(SamplingData[[#This Row],[Total]]&lt;&gt; 0, NOT(ISBLANK(SamplingData[[#This Row],[Candidate 4]]))),(SamplingData[[#This Row],[Total]]+SamplingData[[#This Row],[Winning Candidate]]-SamplingData[[#This Row],[Candidate 4]])/(SamplingData[[#Totals],[Winning Candidate]]-SamplingData[[#Totals],[Candidate 4]]), 0)</f>
        <v>0</v>
      </c>
      <c r="T340" s="100">
        <f>IF(AND(SamplingData[[#This Row],[Total]]&lt;&gt; 0, NOT(ISBLANK(SamplingData[[#This Row],[Candidate 5]]))),(SamplingData[[#This Row],[Total]]+SamplingData[[#This Row],[Winning Candidate]]-SamplingData[[#This Row],[Candidate 5]])/(SamplingData[[#Totals],[Winning Candidate]]-SamplingData[[#Totals],[Candidate 5]]), 0)</f>
        <v>0</v>
      </c>
      <c r="U340" s="100">
        <f>IF(AND(SamplingData[[#This Row],[Total]]&lt;&gt; 0, NOT(ISBLANK(SamplingData[[#This Row],[Candidate 6]]))),(SamplingData[[#This Row],[Total]]+SamplingData[[#This Row],[Losing Candidate]]-SamplingData[[#This Row],[Candidate 6]])/(SamplingData[[#Totals],[Winning Candidate]]-SamplingData[[#Totals],[Candidate 6]]), 0)</f>
        <v>0</v>
      </c>
      <c r="V340" s="100">
        <f>IF(AND(SamplingData[[#This Row],[Total]]&lt;&gt; 0, NOT(ISBLANK(SamplingData[[#This Row],[Candidate 7]]))),(SamplingData[[#This Row],[Total]]+SamplingData[[#This Row],[Winning Candidate]]-SamplingData[[#This Row],[Candidate 7]])/(SamplingData[[#Totals],[Winning Candidate]]-SamplingData[[#Totals],[Candidate 7]]), 0)</f>
        <v>0</v>
      </c>
      <c r="W340" s="100">
        <f>IF(AND(SamplingData[[#This Row],[Total]]&lt;&gt; 0, NOT(ISBLANK(SamplingData[[#This Row],[Candidate 8]]))),(SamplingData[[#This Row],[Total]]+SamplingData[[#This Row],[Winning Candidate]]-SamplingData[[#This Row],[Candidate 8]])/(SamplingData[[#Totals],[Winning Candidate]]-SamplingData[[#Totals],[Candidate 8]]), 0)</f>
        <v>0</v>
      </c>
      <c r="X3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0" s="100">
        <f>MAX(SamplingData[[#This Row],[Error Bound (up) - Max. possible relative overstatement - Losing Candidate]:[Error Bound (up) - Max. possible relative overstatement - Candidate 12]])</f>
        <v>2.2122495417483092E-2</v>
      </c>
      <c r="AC340" s="100">
        <f>IF(SamplingData[[#This Row],[Max Error Bound (up)]] = 0,0,SamplingData[[#This Row],[Max Error Bound (up)]]/SamplingData[[#Totals],[Max Error Bound (up)]])</f>
        <v>8.9785375593645165E-3</v>
      </c>
      <c r="AD340" s="104">
        <f>SUM($AC$5:AC340)</f>
        <v>0.87352579113222684</v>
      </c>
      <c r="AE340" s="100" t="str" cm="1">
        <f t="array" ref="AE340">IF(SamplingData[[#This Row],[up/U Selection Probability]] = 0, "Zero", TEXT(SamplingData[[#This Row],[Lower Range]], REPT("0",LEN('General Info'!$B$42))) &amp; " - " &amp; TEXT(SamplingData[[#This Row],[Upper Range]], REPT("0",LEN('General Info'!$B$42))))</f>
        <v>86455 - 87352</v>
      </c>
      <c r="AF340" s="100">
        <f>SamplingData[[#This Row],[Upper Range]]-SamplingData[[#This Row],[Span]]</f>
        <v>86454.725357286239</v>
      </c>
      <c r="AG340" s="100">
        <f>IF(ISNUMBER('General Info'!$B$42), ((SamplingData[[#This Row],[up/U Selection Probability]]) * 'General Info'!$B$44) - 1, 0)</f>
        <v>896.85375593645165</v>
      </c>
      <c r="AH340" s="100">
        <f>IF(ISNUMBER('General Info'!$B$42), (SamplingData[[#This Row],[Running (cumulative) sum]] * ('General Info'!$B$42 -'General Info'!$B$43 + 1)) + 'General Info'!$B$43 - 1, 0)</f>
        <v>87351.579113222688</v>
      </c>
      <c r="AI340" s="100" t="str">
        <f>IF(ISERROR(MATCH(SamplingData[[#This Row],[Batch by Type (p)]],SelectedPrecincts[Batch Name], 0)), "", INDEX(SelectedPrecincts[Draw], MATCH(SamplingData[[#This Row],[Batch by Type (p)]],SelectedPrecincts[Batch Name], 0)))</f>
        <v/>
      </c>
      <c r="AJ340" s="101">
        <f>IF(COUNTIF(SelectedPrecincts[Batch Name],SamplingData[[#This Row],[Batch by Type (p)]]) &lt;&gt; 0, COUNTIF(SelectedPrecincts[Batch Name],SamplingData[[#This Row],[Batch by Type (p)]]), 0)</f>
        <v>0</v>
      </c>
    </row>
    <row r="341" spans="1:36" ht="15" customHeight="1" x14ac:dyDescent="0.35">
      <c r="A341" s="98" t="s">
        <v>552</v>
      </c>
      <c r="B341" s="98">
        <v>128</v>
      </c>
      <c r="C341" s="98">
        <v>6</v>
      </c>
      <c r="D341" s="93">
        <v>3</v>
      </c>
      <c r="E341" s="93"/>
      <c r="F341" s="93"/>
      <c r="G341" s="97"/>
      <c r="H341" s="97"/>
      <c r="I341" s="93"/>
      <c r="J341" s="93"/>
      <c r="K341" s="93"/>
      <c r="L341" s="93"/>
      <c r="M341" s="93"/>
      <c r="N341" s="98">
        <v>0</v>
      </c>
      <c r="O341" s="98">
        <v>1</v>
      </c>
      <c r="P341" s="99">
        <f>SUM(SamplingData[[#This Row],[Winning Candidate]:[Under Votes]])</f>
        <v>138</v>
      </c>
      <c r="Q341" s="100">
        <f>IF(AND(SamplingData[[#This Row],[Total]]&lt;&gt; 0, NOT(ISBLANK(SamplingData[[#This Row],[Losing Candidate]]))),(SamplingData[[#This Row],[Total]]+SamplingData[[#This Row],[Winning Candidate]]-SamplingData[[#This Row],[Losing Candidate]])/(SamplingData[[#Totals],[Winning Candidate]]-SamplingData[[#Totals],[Losing Candidate]]), 0)</f>
        <v>1.6433853738701727E-2</v>
      </c>
      <c r="R341" s="100">
        <f>IF(AND(SamplingData[[#This Row],[Total]]&lt;&gt; 0, NOT(ISBLANK(SamplingData[[#This Row],[Candidate 3]]))),(SamplingData[[#This Row],[Total]]+SamplingData[[#This Row],[Winning Candidate]]-SamplingData[[#This Row],[Candidate 3]])/(SamplingData[[#Totals],[Winning Candidate]]-SamplingData[[#Totals],[Candidate 3]]), 0)</f>
        <v>1.4845337547979228E-2</v>
      </c>
      <c r="S341" s="100">
        <f>IF(AND(SamplingData[[#This Row],[Total]]&lt;&gt; 0, NOT(ISBLANK(SamplingData[[#This Row],[Candidate 4]]))),(SamplingData[[#This Row],[Total]]+SamplingData[[#This Row],[Winning Candidate]]-SamplingData[[#This Row],[Candidate 4]])/(SamplingData[[#Totals],[Winning Candidate]]-SamplingData[[#Totals],[Candidate 4]]), 0)</f>
        <v>0</v>
      </c>
      <c r="T341" s="100">
        <f>IF(AND(SamplingData[[#This Row],[Total]]&lt;&gt; 0, NOT(ISBLANK(SamplingData[[#This Row],[Candidate 5]]))),(SamplingData[[#This Row],[Total]]+SamplingData[[#This Row],[Winning Candidate]]-SamplingData[[#This Row],[Candidate 5]])/(SamplingData[[#Totals],[Winning Candidate]]-SamplingData[[#Totals],[Candidate 5]]), 0)</f>
        <v>0</v>
      </c>
      <c r="U341" s="100">
        <f>IF(AND(SamplingData[[#This Row],[Total]]&lt;&gt; 0, NOT(ISBLANK(SamplingData[[#This Row],[Candidate 6]]))),(SamplingData[[#This Row],[Total]]+SamplingData[[#This Row],[Losing Candidate]]-SamplingData[[#This Row],[Candidate 6]])/(SamplingData[[#Totals],[Winning Candidate]]-SamplingData[[#Totals],[Candidate 6]]), 0)</f>
        <v>0</v>
      </c>
      <c r="V341" s="100">
        <f>IF(AND(SamplingData[[#This Row],[Total]]&lt;&gt; 0, NOT(ISBLANK(SamplingData[[#This Row],[Candidate 7]]))),(SamplingData[[#This Row],[Total]]+SamplingData[[#This Row],[Winning Candidate]]-SamplingData[[#This Row],[Candidate 7]])/(SamplingData[[#Totals],[Winning Candidate]]-SamplingData[[#Totals],[Candidate 7]]), 0)</f>
        <v>0</v>
      </c>
      <c r="W341" s="100">
        <f>IF(AND(SamplingData[[#This Row],[Total]]&lt;&gt; 0, NOT(ISBLANK(SamplingData[[#This Row],[Candidate 8]]))),(SamplingData[[#This Row],[Total]]+SamplingData[[#This Row],[Winning Candidate]]-SamplingData[[#This Row],[Candidate 8]])/(SamplingData[[#Totals],[Winning Candidate]]-SamplingData[[#Totals],[Candidate 8]]), 0)</f>
        <v>0</v>
      </c>
      <c r="X3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1" s="100">
        <f>MAX(SamplingData[[#This Row],[Error Bound (up) - Max. possible relative overstatement - Losing Candidate]:[Error Bound (up) - Max. possible relative overstatement - Candidate 12]])</f>
        <v>1.6433853738701727E-2</v>
      </c>
      <c r="AC341" s="100">
        <f>IF(SamplingData[[#This Row],[Max Error Bound (up)]] = 0,0,SamplingData[[#This Row],[Max Error Bound (up)]]/SamplingData[[#Totals],[Max Error Bound (up)]])</f>
        <v>6.6697707583850694E-3</v>
      </c>
      <c r="AD341" s="104">
        <f>SUM($AC$5:AC341)</f>
        <v>0.88019556189061188</v>
      </c>
      <c r="AE341" s="100" t="str" cm="1">
        <f t="array" ref="AE341">IF(SamplingData[[#This Row],[up/U Selection Probability]] = 0, "Zero", TEXT(SamplingData[[#This Row],[Lower Range]], REPT("0",LEN('General Info'!$B$42))) &amp; " - " &amp; TEXT(SamplingData[[#This Row],[Upper Range]], REPT("0",LEN('General Info'!$B$42))))</f>
        <v>87353 - 88019</v>
      </c>
      <c r="AF341" s="100">
        <f>SamplingData[[#This Row],[Upper Range]]-SamplingData[[#This Row],[Span]]</f>
        <v>87352.579113222673</v>
      </c>
      <c r="AG341" s="100">
        <f>IF(ISNUMBER('General Info'!$B$42), ((SamplingData[[#This Row],[up/U Selection Probability]]) * 'General Info'!$B$44) - 1, 0)</f>
        <v>665.97707583850695</v>
      </c>
      <c r="AH341" s="100">
        <f>IF(ISNUMBER('General Info'!$B$42), (SamplingData[[#This Row],[Running (cumulative) sum]] * ('General Info'!$B$42 -'General Info'!$B$43 + 1)) + 'General Info'!$B$43 - 1, 0)</f>
        <v>88018.556189061186</v>
      </c>
      <c r="AI341" s="100" t="str">
        <f>IF(ISERROR(MATCH(SamplingData[[#This Row],[Batch by Type (p)]],SelectedPrecincts[Batch Name], 0)), "", INDEX(SelectedPrecincts[Draw], MATCH(SamplingData[[#This Row],[Batch by Type (p)]],SelectedPrecincts[Batch Name], 0)))</f>
        <v/>
      </c>
      <c r="AJ341" s="101">
        <f>IF(COUNTIF(SelectedPrecincts[Batch Name],SamplingData[[#This Row],[Batch by Type (p)]]) &lt;&gt; 0, COUNTIF(SelectedPrecincts[Batch Name],SamplingData[[#This Row],[Batch by Type (p)]]), 0)</f>
        <v>0</v>
      </c>
    </row>
    <row r="342" spans="1:36" ht="15" customHeight="1" x14ac:dyDescent="0.35">
      <c r="A342" s="98" t="s">
        <v>553</v>
      </c>
      <c r="B342" s="98">
        <v>91</v>
      </c>
      <c r="C342" s="98">
        <v>7</v>
      </c>
      <c r="D342" s="93">
        <v>3</v>
      </c>
      <c r="E342" s="93"/>
      <c r="F342" s="93"/>
      <c r="G342" s="97"/>
      <c r="H342" s="97"/>
      <c r="I342" s="93"/>
      <c r="J342" s="93"/>
      <c r="K342" s="93"/>
      <c r="L342" s="93"/>
      <c r="M342" s="93"/>
      <c r="N342" s="98">
        <v>0</v>
      </c>
      <c r="O342" s="98">
        <v>0</v>
      </c>
      <c r="P342" s="99">
        <f>SUM(SamplingData[[#This Row],[Winning Candidate]:[Under Votes]])</f>
        <v>101</v>
      </c>
      <c r="Q342" s="100">
        <f>IF(AND(SamplingData[[#This Row],[Total]]&lt;&gt; 0, NOT(ISBLANK(SamplingData[[#This Row],[Losing Candidate]]))),(SamplingData[[#This Row],[Total]]+SamplingData[[#This Row],[Winning Candidate]]-SamplingData[[#This Row],[Losing Candidate]])/(SamplingData[[#Totals],[Winning Candidate]]-SamplingData[[#Totals],[Losing Candidate]]), 0)</f>
        <v>1.169331900638392E-2</v>
      </c>
      <c r="R342" s="100">
        <f>IF(AND(SamplingData[[#This Row],[Total]]&lt;&gt; 0, NOT(ISBLANK(SamplingData[[#This Row],[Candidate 3]]))),(SamplingData[[#This Row],[Total]]+SamplingData[[#This Row],[Winning Candidate]]-SamplingData[[#This Row],[Candidate 3]])/(SamplingData[[#Totals],[Winning Candidate]]-SamplingData[[#Totals],[Candidate 3]]), 0)</f>
        <v>1.0668322420410927E-2</v>
      </c>
      <c r="S342" s="100">
        <f>IF(AND(SamplingData[[#This Row],[Total]]&lt;&gt; 0, NOT(ISBLANK(SamplingData[[#This Row],[Candidate 4]]))),(SamplingData[[#This Row],[Total]]+SamplingData[[#This Row],[Winning Candidate]]-SamplingData[[#This Row],[Candidate 4]])/(SamplingData[[#Totals],[Winning Candidate]]-SamplingData[[#Totals],[Candidate 4]]), 0)</f>
        <v>0</v>
      </c>
      <c r="T342" s="100">
        <f>IF(AND(SamplingData[[#This Row],[Total]]&lt;&gt; 0, NOT(ISBLANK(SamplingData[[#This Row],[Candidate 5]]))),(SamplingData[[#This Row],[Total]]+SamplingData[[#This Row],[Winning Candidate]]-SamplingData[[#This Row],[Candidate 5]])/(SamplingData[[#Totals],[Winning Candidate]]-SamplingData[[#Totals],[Candidate 5]]), 0)</f>
        <v>0</v>
      </c>
      <c r="U342" s="100">
        <f>IF(AND(SamplingData[[#This Row],[Total]]&lt;&gt; 0, NOT(ISBLANK(SamplingData[[#This Row],[Candidate 6]]))),(SamplingData[[#This Row],[Total]]+SamplingData[[#This Row],[Losing Candidate]]-SamplingData[[#This Row],[Candidate 6]])/(SamplingData[[#Totals],[Winning Candidate]]-SamplingData[[#Totals],[Candidate 6]]), 0)</f>
        <v>0</v>
      </c>
      <c r="V342" s="100">
        <f>IF(AND(SamplingData[[#This Row],[Total]]&lt;&gt; 0, NOT(ISBLANK(SamplingData[[#This Row],[Candidate 7]]))),(SamplingData[[#This Row],[Total]]+SamplingData[[#This Row],[Winning Candidate]]-SamplingData[[#This Row],[Candidate 7]])/(SamplingData[[#Totals],[Winning Candidate]]-SamplingData[[#Totals],[Candidate 7]]), 0)</f>
        <v>0</v>
      </c>
      <c r="W342" s="100">
        <f>IF(AND(SamplingData[[#This Row],[Total]]&lt;&gt; 0, NOT(ISBLANK(SamplingData[[#This Row],[Candidate 8]]))),(SamplingData[[#This Row],[Total]]+SamplingData[[#This Row],[Winning Candidate]]-SamplingData[[#This Row],[Candidate 8]])/(SamplingData[[#Totals],[Winning Candidate]]-SamplingData[[#Totals],[Candidate 8]]), 0)</f>
        <v>0</v>
      </c>
      <c r="X3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2" s="100">
        <f>MAX(SamplingData[[#This Row],[Error Bound (up) - Max. possible relative overstatement - Losing Candidate]:[Error Bound (up) - Max. possible relative overstatement - Candidate 12]])</f>
        <v>1.169331900638392E-2</v>
      </c>
      <c r="AC342" s="100">
        <f>IF(SamplingData[[#This Row],[Max Error Bound (up)]] = 0,0,SamplingData[[#This Row],[Max Error Bound (up)]]/SamplingData[[#Totals],[Max Error Bound (up)]])</f>
        <v>4.7457984242355302E-3</v>
      </c>
      <c r="AD342" s="104">
        <f>SUM($AC$5:AC342)</f>
        <v>0.88494136031484738</v>
      </c>
      <c r="AE342" s="100" t="str" cm="1">
        <f t="array" ref="AE342">IF(SamplingData[[#This Row],[up/U Selection Probability]] = 0, "Zero", TEXT(SamplingData[[#This Row],[Lower Range]], REPT("0",LEN('General Info'!$B$42))) &amp; " - " &amp; TEXT(SamplingData[[#This Row],[Upper Range]], REPT("0",LEN('General Info'!$B$42))))</f>
        <v>88020 - 88493</v>
      </c>
      <c r="AF342" s="100">
        <f>SamplingData[[#This Row],[Upper Range]]-SamplingData[[#This Row],[Span]]</f>
        <v>88019.556189061186</v>
      </c>
      <c r="AG342" s="100">
        <f>IF(ISNUMBER('General Info'!$B$42), ((SamplingData[[#This Row],[up/U Selection Probability]]) * 'General Info'!$B$44) - 1, 0)</f>
        <v>473.57984242355303</v>
      </c>
      <c r="AH342" s="100">
        <f>IF(ISNUMBER('General Info'!$B$42), (SamplingData[[#This Row],[Running (cumulative) sum]] * ('General Info'!$B$42 -'General Info'!$B$43 + 1)) + 'General Info'!$B$43 - 1, 0)</f>
        <v>88493.136031484741</v>
      </c>
      <c r="AI342" s="100" t="str">
        <f>IF(ISERROR(MATCH(SamplingData[[#This Row],[Batch by Type (p)]],SelectedPrecincts[Batch Name], 0)), "", INDEX(SelectedPrecincts[Draw], MATCH(SamplingData[[#This Row],[Batch by Type (p)]],SelectedPrecincts[Batch Name], 0)))</f>
        <v/>
      </c>
      <c r="AJ342" s="101">
        <f>IF(COUNTIF(SelectedPrecincts[Batch Name],SamplingData[[#This Row],[Batch by Type (p)]]) &lt;&gt; 0, COUNTIF(SelectedPrecincts[Batch Name],SamplingData[[#This Row],[Batch by Type (p)]]), 0)</f>
        <v>0</v>
      </c>
    </row>
    <row r="343" spans="1:36" ht="15" customHeight="1" x14ac:dyDescent="0.35">
      <c r="A343" s="98" t="s">
        <v>554</v>
      </c>
      <c r="B343" s="98">
        <v>80</v>
      </c>
      <c r="C343" s="98">
        <v>12</v>
      </c>
      <c r="D343" s="93">
        <v>3</v>
      </c>
      <c r="E343" s="93"/>
      <c r="F343" s="93"/>
      <c r="G343" s="97"/>
      <c r="H343" s="97"/>
      <c r="I343" s="93"/>
      <c r="J343" s="93"/>
      <c r="K343" s="93"/>
      <c r="L343" s="93"/>
      <c r="M343" s="93"/>
      <c r="N343" s="98">
        <v>0</v>
      </c>
      <c r="O343" s="98">
        <v>0</v>
      </c>
      <c r="P343" s="99">
        <f>SUM(SamplingData[[#This Row],[Winning Candidate]:[Under Votes]])</f>
        <v>95</v>
      </c>
      <c r="Q343" s="100">
        <f>IF(AND(SamplingData[[#This Row],[Total]]&lt;&gt; 0, NOT(ISBLANK(SamplingData[[#This Row],[Losing Candidate]]))),(SamplingData[[#This Row],[Total]]+SamplingData[[#This Row],[Winning Candidate]]-SamplingData[[#This Row],[Losing Candidate]])/(SamplingData[[#Totals],[Winning Candidate]]-SamplingData[[#Totals],[Losing Candidate]]), 0)</f>
        <v>1.0302762151570697E-2</v>
      </c>
      <c r="R343" s="100">
        <f>IF(AND(SamplingData[[#This Row],[Total]]&lt;&gt; 0, NOT(ISBLANK(SamplingData[[#This Row],[Candidate 3]]))),(SamplingData[[#This Row],[Total]]+SamplingData[[#This Row],[Winning Candidate]]-SamplingData[[#This Row],[Candidate 3]])/(SamplingData[[#Totals],[Winning Candidate]]-SamplingData[[#Totals],[Candidate 3]]), 0)</f>
        <v>9.7087378640776691E-3</v>
      </c>
      <c r="S343" s="100">
        <f>IF(AND(SamplingData[[#This Row],[Total]]&lt;&gt; 0, NOT(ISBLANK(SamplingData[[#This Row],[Candidate 4]]))),(SamplingData[[#This Row],[Total]]+SamplingData[[#This Row],[Winning Candidate]]-SamplingData[[#This Row],[Candidate 4]])/(SamplingData[[#Totals],[Winning Candidate]]-SamplingData[[#Totals],[Candidate 4]]), 0)</f>
        <v>0</v>
      </c>
      <c r="T343" s="100">
        <f>IF(AND(SamplingData[[#This Row],[Total]]&lt;&gt; 0, NOT(ISBLANK(SamplingData[[#This Row],[Candidate 5]]))),(SamplingData[[#This Row],[Total]]+SamplingData[[#This Row],[Winning Candidate]]-SamplingData[[#This Row],[Candidate 5]])/(SamplingData[[#Totals],[Winning Candidate]]-SamplingData[[#Totals],[Candidate 5]]), 0)</f>
        <v>0</v>
      </c>
      <c r="U343" s="100">
        <f>IF(AND(SamplingData[[#This Row],[Total]]&lt;&gt; 0, NOT(ISBLANK(SamplingData[[#This Row],[Candidate 6]]))),(SamplingData[[#This Row],[Total]]+SamplingData[[#This Row],[Losing Candidate]]-SamplingData[[#This Row],[Candidate 6]])/(SamplingData[[#Totals],[Winning Candidate]]-SamplingData[[#Totals],[Candidate 6]]), 0)</f>
        <v>0</v>
      </c>
      <c r="V343" s="100">
        <f>IF(AND(SamplingData[[#This Row],[Total]]&lt;&gt; 0, NOT(ISBLANK(SamplingData[[#This Row],[Candidate 7]]))),(SamplingData[[#This Row],[Total]]+SamplingData[[#This Row],[Winning Candidate]]-SamplingData[[#This Row],[Candidate 7]])/(SamplingData[[#Totals],[Winning Candidate]]-SamplingData[[#Totals],[Candidate 7]]), 0)</f>
        <v>0</v>
      </c>
      <c r="W343" s="100">
        <f>IF(AND(SamplingData[[#This Row],[Total]]&lt;&gt; 0, NOT(ISBLANK(SamplingData[[#This Row],[Candidate 8]]))),(SamplingData[[#This Row],[Total]]+SamplingData[[#This Row],[Winning Candidate]]-SamplingData[[#This Row],[Candidate 8]])/(SamplingData[[#Totals],[Winning Candidate]]-SamplingData[[#Totals],[Candidate 8]]), 0)</f>
        <v>0</v>
      </c>
      <c r="X3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3" s="100">
        <f>MAX(SamplingData[[#This Row],[Error Bound (up) - Max. possible relative overstatement - Losing Candidate]:[Error Bound (up) - Max. possible relative overstatement - Candidate 12]])</f>
        <v>1.0302762151570697E-2</v>
      </c>
      <c r="AC343" s="100">
        <f>IF(SamplingData[[#This Row],[Max Error Bound (up)]] = 0,0,SamplingData[[#This Row],[Max Error Bound (up)]]/SamplingData[[#Totals],[Max Error Bound (up)]])</f>
        <v>4.1814332062183315E-3</v>
      </c>
      <c r="AD343" s="104">
        <f>SUM($AC$5:AC343)</f>
        <v>0.88912279352106571</v>
      </c>
      <c r="AE343" s="100" t="str" cm="1">
        <f t="array" ref="AE343">IF(SamplingData[[#This Row],[up/U Selection Probability]] = 0, "Zero", TEXT(SamplingData[[#This Row],[Lower Range]], REPT("0",LEN('General Info'!$B$42))) &amp; " - " &amp; TEXT(SamplingData[[#This Row],[Upper Range]], REPT("0",LEN('General Info'!$B$42))))</f>
        <v>88494 - 88911</v>
      </c>
      <c r="AF343" s="100">
        <f>SamplingData[[#This Row],[Upper Range]]-SamplingData[[#This Row],[Span]]</f>
        <v>88494.136031484741</v>
      </c>
      <c r="AG343" s="100">
        <f>IF(ISNUMBER('General Info'!$B$42), ((SamplingData[[#This Row],[up/U Selection Probability]]) * 'General Info'!$B$44) - 1, 0)</f>
        <v>417.14332062183314</v>
      </c>
      <c r="AH343" s="100">
        <f>IF(ISNUMBER('General Info'!$B$42), (SamplingData[[#This Row],[Running (cumulative) sum]] * ('General Info'!$B$42 -'General Info'!$B$43 + 1)) + 'General Info'!$B$43 - 1, 0)</f>
        <v>88911.279352106576</v>
      </c>
      <c r="AI343" s="100" t="str">
        <f>IF(ISERROR(MATCH(SamplingData[[#This Row],[Batch by Type (p)]],SelectedPrecincts[Batch Name], 0)), "", INDEX(SelectedPrecincts[Draw], MATCH(SamplingData[[#This Row],[Batch by Type (p)]],SelectedPrecincts[Batch Name], 0)))</f>
        <v/>
      </c>
      <c r="AJ343" s="101">
        <f>IF(COUNTIF(SelectedPrecincts[Batch Name],SamplingData[[#This Row],[Batch by Type (p)]]) &lt;&gt; 0, COUNTIF(SelectedPrecincts[Batch Name],SamplingData[[#This Row],[Batch by Type (p)]]), 0)</f>
        <v>0</v>
      </c>
    </row>
    <row r="344" spans="1:36" ht="15" customHeight="1" x14ac:dyDescent="0.35">
      <c r="A344" s="98" t="s">
        <v>555</v>
      </c>
      <c r="B344" s="98">
        <v>66</v>
      </c>
      <c r="C344" s="98">
        <v>6</v>
      </c>
      <c r="D344" s="93">
        <v>0</v>
      </c>
      <c r="E344" s="93"/>
      <c r="F344" s="93"/>
      <c r="G344" s="97"/>
      <c r="H344" s="97"/>
      <c r="I344" s="93"/>
      <c r="J344" s="93"/>
      <c r="K344" s="93"/>
      <c r="L344" s="93"/>
      <c r="M344" s="93"/>
      <c r="N344" s="98">
        <v>0</v>
      </c>
      <c r="O344" s="98">
        <v>1</v>
      </c>
      <c r="P344" s="99">
        <f>SUM(SamplingData[[#This Row],[Winning Candidate]:[Under Votes]])</f>
        <v>73</v>
      </c>
      <c r="Q344" s="100">
        <f>IF(AND(SamplingData[[#This Row],[Total]]&lt;&gt; 0, NOT(ISBLANK(SamplingData[[#This Row],[Losing Candidate]]))),(SamplingData[[#This Row],[Total]]+SamplingData[[#This Row],[Winning Candidate]]-SamplingData[[#This Row],[Losing Candidate]])/(SamplingData[[#Totals],[Winning Candidate]]-SamplingData[[#Totals],[Losing Candidate]]), 0)</f>
        <v>8.4065482586435751E-3</v>
      </c>
      <c r="R344" s="100">
        <f>IF(AND(SamplingData[[#This Row],[Total]]&lt;&gt; 0, NOT(ISBLANK(SamplingData[[#This Row],[Candidate 3]]))),(SamplingData[[#This Row],[Total]]+SamplingData[[#This Row],[Winning Candidate]]-SamplingData[[#This Row],[Candidate 3]])/(SamplingData[[#Totals],[Winning Candidate]]-SamplingData[[#Totals],[Candidate 3]]), 0)</f>
        <v>7.8460149017836982E-3</v>
      </c>
      <c r="S344" s="100">
        <f>IF(AND(SamplingData[[#This Row],[Total]]&lt;&gt; 0, NOT(ISBLANK(SamplingData[[#This Row],[Candidate 4]]))),(SamplingData[[#This Row],[Total]]+SamplingData[[#This Row],[Winning Candidate]]-SamplingData[[#This Row],[Candidate 4]])/(SamplingData[[#Totals],[Winning Candidate]]-SamplingData[[#Totals],[Candidate 4]]), 0)</f>
        <v>0</v>
      </c>
      <c r="T344" s="100">
        <f>IF(AND(SamplingData[[#This Row],[Total]]&lt;&gt; 0, NOT(ISBLANK(SamplingData[[#This Row],[Candidate 5]]))),(SamplingData[[#This Row],[Total]]+SamplingData[[#This Row],[Winning Candidate]]-SamplingData[[#This Row],[Candidate 5]])/(SamplingData[[#Totals],[Winning Candidate]]-SamplingData[[#Totals],[Candidate 5]]), 0)</f>
        <v>0</v>
      </c>
      <c r="U344" s="100">
        <f>IF(AND(SamplingData[[#This Row],[Total]]&lt;&gt; 0, NOT(ISBLANK(SamplingData[[#This Row],[Candidate 6]]))),(SamplingData[[#This Row],[Total]]+SamplingData[[#This Row],[Losing Candidate]]-SamplingData[[#This Row],[Candidate 6]])/(SamplingData[[#Totals],[Winning Candidate]]-SamplingData[[#Totals],[Candidate 6]]), 0)</f>
        <v>0</v>
      </c>
      <c r="V344" s="100">
        <f>IF(AND(SamplingData[[#This Row],[Total]]&lt;&gt; 0, NOT(ISBLANK(SamplingData[[#This Row],[Candidate 7]]))),(SamplingData[[#This Row],[Total]]+SamplingData[[#This Row],[Winning Candidate]]-SamplingData[[#This Row],[Candidate 7]])/(SamplingData[[#Totals],[Winning Candidate]]-SamplingData[[#Totals],[Candidate 7]]), 0)</f>
        <v>0</v>
      </c>
      <c r="W344" s="100">
        <f>IF(AND(SamplingData[[#This Row],[Total]]&lt;&gt; 0, NOT(ISBLANK(SamplingData[[#This Row],[Candidate 8]]))),(SamplingData[[#This Row],[Total]]+SamplingData[[#This Row],[Winning Candidate]]-SamplingData[[#This Row],[Candidate 8]])/(SamplingData[[#Totals],[Winning Candidate]]-SamplingData[[#Totals],[Candidate 8]]), 0)</f>
        <v>0</v>
      </c>
      <c r="X3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4" s="100">
        <f>MAX(SamplingData[[#This Row],[Error Bound (up) - Max. possible relative overstatement - Losing Candidate]:[Error Bound (up) - Max. possible relative overstatement - Candidate 12]])</f>
        <v>8.4065482586435751E-3</v>
      </c>
      <c r="AC344" s="100">
        <f>IF(SamplingData[[#This Row],[Max Error Bound (up)]] = 0,0,SamplingData[[#This Row],[Max Error Bound (up)]]/SamplingData[[#Totals],[Max Error Bound (up)]])</f>
        <v>3.4118442725585164E-3</v>
      </c>
      <c r="AD344" s="104">
        <f>SUM($AC$5:AC344)</f>
        <v>0.89253463779362419</v>
      </c>
      <c r="AE344" s="100" t="str" cm="1">
        <f t="array" ref="AE344">IF(SamplingData[[#This Row],[up/U Selection Probability]] = 0, "Zero", TEXT(SamplingData[[#This Row],[Lower Range]], REPT("0",LEN('General Info'!$B$42))) &amp; " - " &amp; TEXT(SamplingData[[#This Row],[Upper Range]], REPT("0",LEN('General Info'!$B$42))))</f>
        <v>88912 - 89252</v>
      </c>
      <c r="AF344" s="100">
        <f>SamplingData[[#This Row],[Upper Range]]-SamplingData[[#This Row],[Span]]</f>
        <v>88912.279352106561</v>
      </c>
      <c r="AG344" s="100">
        <f>IF(ISNUMBER('General Info'!$B$42), ((SamplingData[[#This Row],[up/U Selection Probability]]) * 'General Info'!$B$44) - 1, 0)</f>
        <v>340.18442725585163</v>
      </c>
      <c r="AH344" s="100">
        <f>IF(ISNUMBER('General Info'!$B$42), (SamplingData[[#This Row],[Running (cumulative) sum]] * ('General Info'!$B$42 -'General Info'!$B$43 + 1)) + 'General Info'!$B$43 - 1, 0)</f>
        <v>89252.463779362413</v>
      </c>
      <c r="AI344" s="100" t="str">
        <f>IF(ISERROR(MATCH(SamplingData[[#This Row],[Batch by Type (p)]],SelectedPrecincts[Batch Name], 0)), "", INDEX(SelectedPrecincts[Draw], MATCH(SamplingData[[#This Row],[Batch by Type (p)]],SelectedPrecincts[Batch Name], 0)))</f>
        <v/>
      </c>
      <c r="AJ344" s="101">
        <f>IF(COUNTIF(SelectedPrecincts[Batch Name],SamplingData[[#This Row],[Batch by Type (p)]]) &lt;&gt; 0, COUNTIF(SelectedPrecincts[Batch Name],SamplingData[[#This Row],[Batch by Type (p)]]), 0)</f>
        <v>0</v>
      </c>
    </row>
    <row r="345" spans="1:36" ht="15" customHeight="1" x14ac:dyDescent="0.35">
      <c r="A345" s="98" t="s">
        <v>556</v>
      </c>
      <c r="B345" s="98">
        <v>125</v>
      </c>
      <c r="C345" s="98">
        <v>6</v>
      </c>
      <c r="D345" s="93">
        <v>3</v>
      </c>
      <c r="E345" s="93"/>
      <c r="F345" s="93"/>
      <c r="G345" s="97"/>
      <c r="H345" s="97"/>
      <c r="I345" s="93"/>
      <c r="J345" s="93"/>
      <c r="K345" s="93"/>
      <c r="L345" s="93"/>
      <c r="M345" s="93"/>
      <c r="N345" s="98">
        <v>0</v>
      </c>
      <c r="O345" s="98">
        <v>0</v>
      </c>
      <c r="P345" s="99">
        <f>SUM(SamplingData[[#This Row],[Winning Candidate]:[Under Votes]])</f>
        <v>134</v>
      </c>
      <c r="Q345" s="100">
        <f>IF(AND(SamplingData[[#This Row],[Total]]&lt;&gt; 0, NOT(ISBLANK(SamplingData[[#This Row],[Losing Candidate]]))),(SamplingData[[#This Row],[Total]]+SamplingData[[#This Row],[Winning Candidate]]-SamplingData[[#This Row],[Losing Candidate]])/(SamplingData[[#Totals],[Winning Candidate]]-SamplingData[[#Totals],[Losing Candidate]]), 0)</f>
        <v>1.5991403830352063E-2</v>
      </c>
      <c r="R345" s="100">
        <f>IF(AND(SamplingData[[#This Row],[Total]]&lt;&gt; 0, NOT(ISBLANK(SamplingData[[#This Row],[Candidate 3]]))),(SamplingData[[#This Row],[Total]]+SamplingData[[#This Row],[Winning Candidate]]-SamplingData[[#This Row],[Candidate 3]])/(SamplingData[[#Totals],[Winning Candidate]]-SamplingData[[#Totals],[Candidate 3]]), 0)</f>
        <v>1.4450214495371415E-2</v>
      </c>
      <c r="S345" s="100">
        <f>IF(AND(SamplingData[[#This Row],[Total]]&lt;&gt; 0, NOT(ISBLANK(SamplingData[[#This Row],[Candidate 4]]))),(SamplingData[[#This Row],[Total]]+SamplingData[[#This Row],[Winning Candidate]]-SamplingData[[#This Row],[Candidate 4]])/(SamplingData[[#Totals],[Winning Candidate]]-SamplingData[[#Totals],[Candidate 4]]), 0)</f>
        <v>0</v>
      </c>
      <c r="T345" s="100">
        <f>IF(AND(SamplingData[[#This Row],[Total]]&lt;&gt; 0, NOT(ISBLANK(SamplingData[[#This Row],[Candidate 5]]))),(SamplingData[[#This Row],[Total]]+SamplingData[[#This Row],[Winning Candidate]]-SamplingData[[#This Row],[Candidate 5]])/(SamplingData[[#Totals],[Winning Candidate]]-SamplingData[[#Totals],[Candidate 5]]), 0)</f>
        <v>0</v>
      </c>
      <c r="U345" s="100">
        <f>IF(AND(SamplingData[[#This Row],[Total]]&lt;&gt; 0, NOT(ISBLANK(SamplingData[[#This Row],[Candidate 6]]))),(SamplingData[[#This Row],[Total]]+SamplingData[[#This Row],[Losing Candidate]]-SamplingData[[#This Row],[Candidate 6]])/(SamplingData[[#Totals],[Winning Candidate]]-SamplingData[[#Totals],[Candidate 6]]), 0)</f>
        <v>0</v>
      </c>
      <c r="V345" s="100">
        <f>IF(AND(SamplingData[[#This Row],[Total]]&lt;&gt; 0, NOT(ISBLANK(SamplingData[[#This Row],[Candidate 7]]))),(SamplingData[[#This Row],[Total]]+SamplingData[[#This Row],[Winning Candidate]]-SamplingData[[#This Row],[Candidate 7]])/(SamplingData[[#Totals],[Winning Candidate]]-SamplingData[[#Totals],[Candidate 7]]), 0)</f>
        <v>0</v>
      </c>
      <c r="W345" s="100">
        <f>IF(AND(SamplingData[[#This Row],[Total]]&lt;&gt; 0, NOT(ISBLANK(SamplingData[[#This Row],[Candidate 8]]))),(SamplingData[[#This Row],[Total]]+SamplingData[[#This Row],[Winning Candidate]]-SamplingData[[#This Row],[Candidate 8]])/(SamplingData[[#Totals],[Winning Candidate]]-SamplingData[[#Totals],[Candidate 8]]), 0)</f>
        <v>0</v>
      </c>
      <c r="X3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5" s="100">
        <f>MAX(SamplingData[[#This Row],[Error Bound (up) - Max. possible relative overstatement - Losing Candidate]:[Error Bound (up) - Max. possible relative overstatement - Candidate 12]])</f>
        <v>1.5991403830352063E-2</v>
      </c>
      <c r="AC345" s="100">
        <f>IF(SamplingData[[#This Row],[Max Error Bound (up)]] = 0,0,SamplingData[[#This Row],[Max Error Bound (up)]]/SamplingData[[#Totals],[Max Error Bound (up)]])</f>
        <v>6.4902000071977786E-3</v>
      </c>
      <c r="AD345" s="104">
        <f>SUM($AC$5:AC345)</f>
        <v>0.89902483780082199</v>
      </c>
      <c r="AE345" s="100" t="str" cm="1">
        <f t="array" ref="AE345">IF(SamplingData[[#This Row],[up/U Selection Probability]] = 0, "Zero", TEXT(SamplingData[[#This Row],[Lower Range]], REPT("0",LEN('General Info'!$B$42))) &amp; " - " &amp; TEXT(SamplingData[[#This Row],[Upper Range]], REPT("0",LEN('General Info'!$B$42))))</f>
        <v>89253 - 89901</v>
      </c>
      <c r="AF345" s="100">
        <f>SamplingData[[#This Row],[Upper Range]]-SamplingData[[#This Row],[Span]]</f>
        <v>89253.463779362428</v>
      </c>
      <c r="AG345" s="100">
        <f>IF(ISNUMBER('General Info'!$B$42), ((SamplingData[[#This Row],[up/U Selection Probability]]) * 'General Info'!$B$44) - 1, 0)</f>
        <v>648.02000071977784</v>
      </c>
      <c r="AH345" s="100">
        <f>IF(ISNUMBER('General Info'!$B$42), (SamplingData[[#This Row],[Running (cumulative) sum]] * ('General Info'!$B$42 -'General Info'!$B$43 + 1)) + 'General Info'!$B$43 - 1, 0)</f>
        <v>89901.483780082199</v>
      </c>
      <c r="AI345" s="100" t="str">
        <f>IF(ISERROR(MATCH(SamplingData[[#This Row],[Batch by Type (p)]],SelectedPrecincts[Batch Name], 0)), "", INDEX(SelectedPrecincts[Draw], MATCH(SamplingData[[#This Row],[Batch by Type (p)]],SelectedPrecincts[Batch Name], 0)))</f>
        <v/>
      </c>
      <c r="AJ345" s="101">
        <f>IF(COUNTIF(SelectedPrecincts[Batch Name],SamplingData[[#This Row],[Batch by Type (p)]]) &lt;&gt; 0, COUNTIF(SelectedPrecincts[Batch Name],SamplingData[[#This Row],[Batch by Type (p)]]), 0)</f>
        <v>0</v>
      </c>
    </row>
    <row r="346" spans="1:36" ht="15" customHeight="1" x14ac:dyDescent="0.35">
      <c r="A346" s="98" t="s">
        <v>557</v>
      </c>
      <c r="B346" s="98">
        <v>118</v>
      </c>
      <c r="C346" s="98">
        <v>24</v>
      </c>
      <c r="D346" s="93">
        <v>6</v>
      </c>
      <c r="E346" s="93"/>
      <c r="F346" s="93"/>
      <c r="G346" s="97"/>
      <c r="H346" s="97"/>
      <c r="I346" s="93"/>
      <c r="J346" s="93"/>
      <c r="K346" s="93"/>
      <c r="L346" s="93"/>
      <c r="M346" s="93"/>
      <c r="N346" s="98">
        <v>0</v>
      </c>
      <c r="O346" s="98">
        <v>1</v>
      </c>
      <c r="P346" s="99">
        <f>SUM(SamplingData[[#This Row],[Winning Candidate]:[Under Votes]])</f>
        <v>149</v>
      </c>
      <c r="Q346" s="100">
        <f>IF(AND(SamplingData[[#This Row],[Total]]&lt;&gt; 0, NOT(ISBLANK(SamplingData[[#This Row],[Losing Candidate]]))),(SamplingData[[#This Row],[Total]]+SamplingData[[#This Row],[Winning Candidate]]-SamplingData[[#This Row],[Losing Candidate]])/(SamplingData[[#Totals],[Winning Candidate]]-SamplingData[[#Totals],[Losing Candidate]]), 0)</f>
        <v>1.535933253270969E-2</v>
      </c>
      <c r="R346" s="100">
        <f>IF(AND(SamplingData[[#This Row],[Total]]&lt;&gt; 0, NOT(ISBLANK(SamplingData[[#This Row],[Candidate 3]]))),(SamplingData[[#This Row],[Total]]+SamplingData[[#This Row],[Winning Candidate]]-SamplingData[[#This Row],[Candidate 3]])/(SamplingData[[#Totals],[Winning Candidate]]-SamplingData[[#Totals],[Candidate 3]]), 0)</f>
        <v>1.4732445247234138E-2</v>
      </c>
      <c r="S346" s="100">
        <f>IF(AND(SamplingData[[#This Row],[Total]]&lt;&gt; 0, NOT(ISBLANK(SamplingData[[#This Row],[Candidate 4]]))),(SamplingData[[#This Row],[Total]]+SamplingData[[#This Row],[Winning Candidate]]-SamplingData[[#This Row],[Candidate 4]])/(SamplingData[[#Totals],[Winning Candidate]]-SamplingData[[#Totals],[Candidate 4]]), 0)</f>
        <v>0</v>
      </c>
      <c r="T346" s="100">
        <f>IF(AND(SamplingData[[#This Row],[Total]]&lt;&gt; 0, NOT(ISBLANK(SamplingData[[#This Row],[Candidate 5]]))),(SamplingData[[#This Row],[Total]]+SamplingData[[#This Row],[Winning Candidate]]-SamplingData[[#This Row],[Candidate 5]])/(SamplingData[[#Totals],[Winning Candidate]]-SamplingData[[#Totals],[Candidate 5]]), 0)</f>
        <v>0</v>
      </c>
      <c r="U346" s="100">
        <f>IF(AND(SamplingData[[#This Row],[Total]]&lt;&gt; 0, NOT(ISBLANK(SamplingData[[#This Row],[Candidate 6]]))),(SamplingData[[#This Row],[Total]]+SamplingData[[#This Row],[Losing Candidate]]-SamplingData[[#This Row],[Candidate 6]])/(SamplingData[[#Totals],[Winning Candidate]]-SamplingData[[#Totals],[Candidate 6]]), 0)</f>
        <v>0</v>
      </c>
      <c r="V346" s="100">
        <f>IF(AND(SamplingData[[#This Row],[Total]]&lt;&gt; 0, NOT(ISBLANK(SamplingData[[#This Row],[Candidate 7]]))),(SamplingData[[#This Row],[Total]]+SamplingData[[#This Row],[Winning Candidate]]-SamplingData[[#This Row],[Candidate 7]])/(SamplingData[[#Totals],[Winning Candidate]]-SamplingData[[#Totals],[Candidate 7]]), 0)</f>
        <v>0</v>
      </c>
      <c r="W346" s="100">
        <f>IF(AND(SamplingData[[#This Row],[Total]]&lt;&gt; 0, NOT(ISBLANK(SamplingData[[#This Row],[Candidate 8]]))),(SamplingData[[#This Row],[Total]]+SamplingData[[#This Row],[Winning Candidate]]-SamplingData[[#This Row],[Candidate 8]])/(SamplingData[[#Totals],[Winning Candidate]]-SamplingData[[#Totals],[Candidate 8]]), 0)</f>
        <v>0</v>
      </c>
      <c r="X3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6" s="100">
        <f>MAX(SamplingData[[#This Row],[Error Bound (up) - Max. possible relative overstatement - Losing Candidate]:[Error Bound (up) - Max. possible relative overstatement - Candidate 12]])</f>
        <v>1.535933253270969E-2</v>
      </c>
      <c r="AC346" s="100">
        <f>IF(SamplingData[[#This Row],[Max Error Bound (up)]] = 0,0,SamplingData[[#This Row],[Max Error Bound (up)]]/SamplingData[[#Totals],[Max Error Bound (up)]])</f>
        <v>6.2336703626445075E-3</v>
      </c>
      <c r="AD346" s="104">
        <f>SUM($AC$5:AC346)</f>
        <v>0.90525850816346654</v>
      </c>
      <c r="AE346" s="100" t="str" cm="1">
        <f t="array" ref="AE346">IF(SamplingData[[#This Row],[up/U Selection Probability]] = 0, "Zero", TEXT(SamplingData[[#This Row],[Lower Range]], REPT("0",LEN('General Info'!$B$42))) &amp; " - " &amp; TEXT(SamplingData[[#This Row],[Upper Range]], REPT("0",LEN('General Info'!$B$42))))</f>
        <v>89902 - 90525</v>
      </c>
      <c r="AF346" s="100">
        <f>SamplingData[[#This Row],[Upper Range]]-SamplingData[[#This Row],[Span]]</f>
        <v>89902.483780082199</v>
      </c>
      <c r="AG346" s="100">
        <f>IF(ISNUMBER('General Info'!$B$42), ((SamplingData[[#This Row],[up/U Selection Probability]]) * 'General Info'!$B$44) - 1, 0)</f>
        <v>622.3670362644508</v>
      </c>
      <c r="AH346" s="100">
        <f>IF(ISNUMBER('General Info'!$B$42), (SamplingData[[#This Row],[Running (cumulative) sum]] * ('General Info'!$B$42 -'General Info'!$B$43 + 1)) + 'General Info'!$B$43 - 1, 0)</f>
        <v>90524.850816346647</v>
      </c>
      <c r="AI346" s="100" t="str">
        <f>IF(ISERROR(MATCH(SamplingData[[#This Row],[Batch by Type (p)]],SelectedPrecincts[Batch Name], 0)), "", INDEX(SelectedPrecincts[Draw], MATCH(SamplingData[[#This Row],[Batch by Type (p)]],SelectedPrecincts[Batch Name], 0)))</f>
        <v/>
      </c>
      <c r="AJ346" s="101">
        <f>IF(COUNTIF(SelectedPrecincts[Batch Name],SamplingData[[#This Row],[Batch by Type (p)]]) &lt;&gt; 0, COUNTIF(SelectedPrecincts[Batch Name],SamplingData[[#This Row],[Batch by Type (p)]]), 0)</f>
        <v>0</v>
      </c>
    </row>
    <row r="347" spans="1:36" ht="15" customHeight="1" x14ac:dyDescent="0.35">
      <c r="A347" s="98" t="s">
        <v>558</v>
      </c>
      <c r="B347" s="98">
        <v>36</v>
      </c>
      <c r="C347" s="98">
        <v>3</v>
      </c>
      <c r="D347" s="93">
        <v>0</v>
      </c>
      <c r="E347" s="93"/>
      <c r="F347" s="93"/>
      <c r="G347" s="97"/>
      <c r="H347" s="97"/>
      <c r="I347" s="93"/>
      <c r="J347" s="93"/>
      <c r="K347" s="93"/>
      <c r="L347" s="93"/>
      <c r="M347" s="93"/>
      <c r="N347" s="98">
        <v>0</v>
      </c>
      <c r="O347" s="98">
        <v>0</v>
      </c>
      <c r="P347" s="99">
        <f>SUM(SamplingData[[#This Row],[Winning Candidate]:[Under Votes]])</f>
        <v>39</v>
      </c>
      <c r="Q347" s="100">
        <f>IF(AND(SamplingData[[#This Row],[Total]]&lt;&gt; 0, NOT(ISBLANK(SamplingData[[#This Row],[Losing Candidate]]))),(SamplingData[[#This Row],[Total]]+SamplingData[[#This Row],[Winning Candidate]]-SamplingData[[#This Row],[Losing Candidate]])/(SamplingData[[#Totals],[Winning Candidate]]-SamplingData[[#Totals],[Losing Candidate]]), 0)</f>
        <v>4.5509133430250929E-3</v>
      </c>
      <c r="R347" s="100">
        <f>IF(AND(SamplingData[[#This Row],[Total]]&lt;&gt; 0, NOT(ISBLANK(SamplingData[[#This Row],[Candidate 3]]))),(SamplingData[[#This Row],[Total]]+SamplingData[[#This Row],[Winning Candidate]]-SamplingData[[#This Row],[Candidate 3]])/(SamplingData[[#Totals],[Winning Candidate]]-SamplingData[[#Totals],[Candidate 3]]), 0)</f>
        <v>4.2334612779408448E-3</v>
      </c>
      <c r="S347" s="100">
        <f>IF(AND(SamplingData[[#This Row],[Total]]&lt;&gt; 0, NOT(ISBLANK(SamplingData[[#This Row],[Candidate 4]]))),(SamplingData[[#This Row],[Total]]+SamplingData[[#This Row],[Winning Candidate]]-SamplingData[[#This Row],[Candidate 4]])/(SamplingData[[#Totals],[Winning Candidate]]-SamplingData[[#Totals],[Candidate 4]]), 0)</f>
        <v>0</v>
      </c>
      <c r="T347" s="100">
        <f>IF(AND(SamplingData[[#This Row],[Total]]&lt;&gt; 0, NOT(ISBLANK(SamplingData[[#This Row],[Candidate 5]]))),(SamplingData[[#This Row],[Total]]+SamplingData[[#This Row],[Winning Candidate]]-SamplingData[[#This Row],[Candidate 5]])/(SamplingData[[#Totals],[Winning Candidate]]-SamplingData[[#Totals],[Candidate 5]]), 0)</f>
        <v>0</v>
      </c>
      <c r="U347" s="100">
        <f>IF(AND(SamplingData[[#This Row],[Total]]&lt;&gt; 0, NOT(ISBLANK(SamplingData[[#This Row],[Candidate 6]]))),(SamplingData[[#This Row],[Total]]+SamplingData[[#This Row],[Losing Candidate]]-SamplingData[[#This Row],[Candidate 6]])/(SamplingData[[#Totals],[Winning Candidate]]-SamplingData[[#Totals],[Candidate 6]]), 0)</f>
        <v>0</v>
      </c>
      <c r="V347" s="100">
        <f>IF(AND(SamplingData[[#This Row],[Total]]&lt;&gt; 0, NOT(ISBLANK(SamplingData[[#This Row],[Candidate 7]]))),(SamplingData[[#This Row],[Total]]+SamplingData[[#This Row],[Winning Candidate]]-SamplingData[[#This Row],[Candidate 7]])/(SamplingData[[#Totals],[Winning Candidate]]-SamplingData[[#Totals],[Candidate 7]]), 0)</f>
        <v>0</v>
      </c>
      <c r="W347" s="100">
        <f>IF(AND(SamplingData[[#This Row],[Total]]&lt;&gt; 0, NOT(ISBLANK(SamplingData[[#This Row],[Candidate 8]]))),(SamplingData[[#This Row],[Total]]+SamplingData[[#This Row],[Winning Candidate]]-SamplingData[[#This Row],[Candidate 8]])/(SamplingData[[#Totals],[Winning Candidate]]-SamplingData[[#Totals],[Candidate 8]]), 0)</f>
        <v>0</v>
      </c>
      <c r="X3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7" s="100">
        <f>MAX(SamplingData[[#This Row],[Error Bound (up) - Max. possible relative overstatement - Losing Candidate]:[Error Bound (up) - Max. possible relative overstatement - Candidate 12]])</f>
        <v>4.5509133430250929E-3</v>
      </c>
      <c r="AC347" s="100">
        <f>IF(SamplingData[[#This Row],[Max Error Bound (up)]] = 0,0,SamplingData[[#This Row],[Max Error Bound (up)]]/SamplingData[[#Totals],[Max Error Bound (up)]])</f>
        <v>1.8470134407835574E-3</v>
      </c>
      <c r="AD347" s="104">
        <f>SUM($AC$5:AC347)</f>
        <v>0.90710552160425006</v>
      </c>
      <c r="AE347" s="100" t="str" cm="1">
        <f t="array" ref="AE347">IF(SamplingData[[#This Row],[up/U Selection Probability]] = 0, "Zero", TEXT(SamplingData[[#This Row],[Lower Range]], REPT("0",LEN('General Info'!$B$42))) &amp; " - " &amp; TEXT(SamplingData[[#This Row],[Upper Range]], REPT("0",LEN('General Info'!$B$42))))</f>
        <v>90526 - 90710</v>
      </c>
      <c r="AF347" s="100">
        <f>SamplingData[[#This Row],[Upper Range]]-SamplingData[[#This Row],[Span]]</f>
        <v>90525.850816346661</v>
      </c>
      <c r="AG347" s="100">
        <f>IF(ISNUMBER('General Info'!$B$42), ((SamplingData[[#This Row],[up/U Selection Probability]]) * 'General Info'!$B$44) - 1, 0)</f>
        <v>183.70134407835573</v>
      </c>
      <c r="AH347" s="100">
        <f>IF(ISNUMBER('General Info'!$B$42), (SamplingData[[#This Row],[Running (cumulative) sum]] * ('General Info'!$B$42 -'General Info'!$B$43 + 1)) + 'General Info'!$B$43 - 1, 0)</f>
        <v>90709.55216042501</v>
      </c>
      <c r="AI347" s="100" t="str">
        <f>IF(ISERROR(MATCH(SamplingData[[#This Row],[Batch by Type (p)]],SelectedPrecincts[Batch Name], 0)), "", INDEX(SelectedPrecincts[Draw], MATCH(SamplingData[[#This Row],[Batch by Type (p)]],SelectedPrecincts[Batch Name], 0)))</f>
        <v/>
      </c>
      <c r="AJ347" s="101">
        <f>IF(COUNTIF(SelectedPrecincts[Batch Name],SamplingData[[#This Row],[Batch by Type (p)]]) &lt;&gt; 0, COUNTIF(SelectedPrecincts[Batch Name],SamplingData[[#This Row],[Batch by Type (p)]]), 0)</f>
        <v>0</v>
      </c>
    </row>
    <row r="348" spans="1:36" ht="15" customHeight="1" x14ac:dyDescent="0.35">
      <c r="A348" s="98" t="s">
        <v>559</v>
      </c>
      <c r="B348" s="98">
        <v>59</v>
      </c>
      <c r="C348" s="98">
        <v>17</v>
      </c>
      <c r="D348" s="93">
        <v>1</v>
      </c>
      <c r="E348" s="93"/>
      <c r="F348" s="93"/>
      <c r="G348" s="97"/>
      <c r="H348" s="97"/>
      <c r="I348" s="93"/>
      <c r="J348" s="93"/>
      <c r="K348" s="93"/>
      <c r="L348" s="93"/>
      <c r="M348" s="93"/>
      <c r="N348" s="98">
        <v>0</v>
      </c>
      <c r="O348" s="98">
        <v>0</v>
      </c>
      <c r="P348" s="99">
        <f>SUM(SamplingData[[#This Row],[Winning Candidate]:[Under Votes]])</f>
        <v>77</v>
      </c>
      <c r="Q348" s="100">
        <f>IF(AND(SamplingData[[#This Row],[Total]]&lt;&gt; 0, NOT(ISBLANK(SamplingData[[#This Row],[Losing Candidate]]))),(SamplingData[[#This Row],[Total]]+SamplingData[[#This Row],[Winning Candidate]]-SamplingData[[#This Row],[Losing Candidate]])/(SamplingData[[#Totals],[Winning Candidate]]-SamplingData[[#Totals],[Losing Candidate]]), 0)</f>
        <v>7.5216484419442517E-3</v>
      </c>
      <c r="R348" s="100">
        <f>IF(AND(SamplingData[[#This Row],[Total]]&lt;&gt; 0, NOT(ISBLANK(SamplingData[[#This Row],[Candidate 3]]))),(SamplingData[[#This Row],[Total]]+SamplingData[[#This Row],[Winning Candidate]]-SamplingData[[#This Row],[Candidate 3]])/(SamplingData[[#Totals],[Winning Candidate]]-SamplingData[[#Totals],[Candidate 3]]), 0)</f>
        <v>7.6202303002935196E-3</v>
      </c>
      <c r="S348" s="100">
        <f>IF(AND(SamplingData[[#This Row],[Total]]&lt;&gt; 0, NOT(ISBLANK(SamplingData[[#This Row],[Candidate 4]]))),(SamplingData[[#This Row],[Total]]+SamplingData[[#This Row],[Winning Candidate]]-SamplingData[[#This Row],[Candidate 4]])/(SamplingData[[#Totals],[Winning Candidate]]-SamplingData[[#Totals],[Candidate 4]]), 0)</f>
        <v>0</v>
      </c>
      <c r="T348" s="100">
        <f>IF(AND(SamplingData[[#This Row],[Total]]&lt;&gt; 0, NOT(ISBLANK(SamplingData[[#This Row],[Candidate 5]]))),(SamplingData[[#This Row],[Total]]+SamplingData[[#This Row],[Winning Candidate]]-SamplingData[[#This Row],[Candidate 5]])/(SamplingData[[#Totals],[Winning Candidate]]-SamplingData[[#Totals],[Candidate 5]]), 0)</f>
        <v>0</v>
      </c>
      <c r="U348" s="100">
        <f>IF(AND(SamplingData[[#This Row],[Total]]&lt;&gt; 0, NOT(ISBLANK(SamplingData[[#This Row],[Candidate 6]]))),(SamplingData[[#This Row],[Total]]+SamplingData[[#This Row],[Losing Candidate]]-SamplingData[[#This Row],[Candidate 6]])/(SamplingData[[#Totals],[Winning Candidate]]-SamplingData[[#Totals],[Candidate 6]]), 0)</f>
        <v>0</v>
      </c>
      <c r="V348" s="100">
        <f>IF(AND(SamplingData[[#This Row],[Total]]&lt;&gt; 0, NOT(ISBLANK(SamplingData[[#This Row],[Candidate 7]]))),(SamplingData[[#This Row],[Total]]+SamplingData[[#This Row],[Winning Candidate]]-SamplingData[[#This Row],[Candidate 7]])/(SamplingData[[#Totals],[Winning Candidate]]-SamplingData[[#Totals],[Candidate 7]]), 0)</f>
        <v>0</v>
      </c>
      <c r="W348" s="100">
        <f>IF(AND(SamplingData[[#This Row],[Total]]&lt;&gt; 0, NOT(ISBLANK(SamplingData[[#This Row],[Candidate 8]]))),(SamplingData[[#This Row],[Total]]+SamplingData[[#This Row],[Winning Candidate]]-SamplingData[[#This Row],[Candidate 8]])/(SamplingData[[#Totals],[Winning Candidate]]-SamplingData[[#Totals],[Candidate 8]]), 0)</f>
        <v>0</v>
      </c>
      <c r="X3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8" s="100">
        <f>MAX(SamplingData[[#This Row],[Error Bound (up) - Max. possible relative overstatement - Losing Candidate]:[Error Bound (up) - Max. possible relative overstatement - Candidate 12]])</f>
        <v>7.6202303002935196E-3</v>
      </c>
      <c r="AC348" s="100">
        <f>IF(SamplingData[[#This Row],[Max Error Bound (up)]] = 0,0,SamplingData[[#This Row],[Max Error Bound (up)]]/SamplingData[[#Totals],[Max Error Bound (up)]])</f>
        <v>3.0927127645881546E-3</v>
      </c>
      <c r="AD348" s="104">
        <f>SUM($AC$5:AC348)</f>
        <v>0.91019823436883818</v>
      </c>
      <c r="AE348" s="100" t="str" cm="1">
        <f t="array" ref="AE348">IF(SamplingData[[#This Row],[up/U Selection Probability]] = 0, "Zero", TEXT(SamplingData[[#This Row],[Lower Range]], REPT("0",LEN('General Info'!$B$42))) &amp; " - " &amp; TEXT(SamplingData[[#This Row],[Upper Range]], REPT("0",LEN('General Info'!$B$42))))</f>
        <v>90711 - 91019</v>
      </c>
      <c r="AF348" s="100">
        <f>SamplingData[[#This Row],[Upper Range]]-SamplingData[[#This Row],[Span]]</f>
        <v>90710.552160424995</v>
      </c>
      <c r="AG348" s="100">
        <f>IF(ISNUMBER('General Info'!$B$42), ((SamplingData[[#This Row],[up/U Selection Probability]]) * 'General Info'!$B$44) - 1, 0)</f>
        <v>308.27127645881546</v>
      </c>
      <c r="AH348" s="100">
        <f>IF(ISNUMBER('General Info'!$B$42), (SamplingData[[#This Row],[Running (cumulative) sum]] * ('General Info'!$B$42 -'General Info'!$B$43 + 1)) + 'General Info'!$B$43 - 1, 0)</f>
        <v>91018.823436883817</v>
      </c>
      <c r="AI348" s="100" t="str">
        <f>IF(ISERROR(MATCH(SamplingData[[#This Row],[Batch by Type (p)]],SelectedPrecincts[Batch Name], 0)), "", INDEX(SelectedPrecincts[Draw], MATCH(SamplingData[[#This Row],[Batch by Type (p)]],SelectedPrecincts[Batch Name], 0)))</f>
        <v/>
      </c>
      <c r="AJ348" s="101">
        <f>IF(COUNTIF(SelectedPrecincts[Batch Name],SamplingData[[#This Row],[Batch by Type (p)]]) &lt;&gt; 0, COUNTIF(SelectedPrecincts[Batch Name],SamplingData[[#This Row],[Batch by Type (p)]]), 0)</f>
        <v>0</v>
      </c>
    </row>
    <row r="349" spans="1:36" ht="15" customHeight="1" x14ac:dyDescent="0.35">
      <c r="A349" s="98" t="s">
        <v>560</v>
      </c>
      <c r="B349" s="98">
        <v>14</v>
      </c>
      <c r="C349" s="98">
        <v>1</v>
      </c>
      <c r="D349" s="93">
        <v>0</v>
      </c>
      <c r="E349" s="93"/>
      <c r="F349" s="93"/>
      <c r="G349" s="97"/>
      <c r="H349" s="97"/>
      <c r="I349" s="93"/>
      <c r="J349" s="93"/>
      <c r="K349" s="93"/>
      <c r="L349" s="93"/>
      <c r="M349" s="93"/>
      <c r="N349" s="98">
        <v>0</v>
      </c>
      <c r="O349" s="98">
        <v>0</v>
      </c>
      <c r="P349" s="99">
        <f>SUM(SamplingData[[#This Row],[Winning Candidate]:[Under Votes]])</f>
        <v>15</v>
      </c>
      <c r="Q349" s="100">
        <f>IF(AND(SamplingData[[#This Row],[Total]]&lt;&gt; 0, NOT(ISBLANK(SamplingData[[#This Row],[Losing Candidate]]))),(SamplingData[[#This Row],[Total]]+SamplingData[[#This Row],[Winning Candidate]]-SamplingData[[#This Row],[Losing Candidate]])/(SamplingData[[#Totals],[Winning Candidate]]-SamplingData[[#Totals],[Losing Candidate]]), 0)</f>
        <v>1.7697996333986474E-3</v>
      </c>
      <c r="R349" s="100">
        <f>IF(AND(SamplingData[[#This Row],[Total]]&lt;&gt; 0, NOT(ISBLANK(SamplingData[[#This Row],[Candidate 3]]))),(SamplingData[[#This Row],[Total]]+SamplingData[[#This Row],[Winning Candidate]]-SamplingData[[#This Row],[Candidate 3]])/(SamplingData[[#Totals],[Winning Candidate]]-SamplingData[[#Totals],[Candidate 3]]), 0)</f>
        <v>1.6369383608037932E-3</v>
      </c>
      <c r="S349" s="100">
        <f>IF(AND(SamplingData[[#This Row],[Total]]&lt;&gt; 0, NOT(ISBLANK(SamplingData[[#This Row],[Candidate 4]]))),(SamplingData[[#This Row],[Total]]+SamplingData[[#This Row],[Winning Candidate]]-SamplingData[[#This Row],[Candidate 4]])/(SamplingData[[#Totals],[Winning Candidate]]-SamplingData[[#Totals],[Candidate 4]]), 0)</f>
        <v>0</v>
      </c>
      <c r="T349" s="100">
        <f>IF(AND(SamplingData[[#This Row],[Total]]&lt;&gt; 0, NOT(ISBLANK(SamplingData[[#This Row],[Candidate 5]]))),(SamplingData[[#This Row],[Total]]+SamplingData[[#This Row],[Winning Candidate]]-SamplingData[[#This Row],[Candidate 5]])/(SamplingData[[#Totals],[Winning Candidate]]-SamplingData[[#Totals],[Candidate 5]]), 0)</f>
        <v>0</v>
      </c>
      <c r="U349" s="100">
        <f>IF(AND(SamplingData[[#This Row],[Total]]&lt;&gt; 0, NOT(ISBLANK(SamplingData[[#This Row],[Candidate 6]]))),(SamplingData[[#This Row],[Total]]+SamplingData[[#This Row],[Losing Candidate]]-SamplingData[[#This Row],[Candidate 6]])/(SamplingData[[#Totals],[Winning Candidate]]-SamplingData[[#Totals],[Candidate 6]]), 0)</f>
        <v>0</v>
      </c>
      <c r="V349" s="100">
        <f>IF(AND(SamplingData[[#This Row],[Total]]&lt;&gt; 0, NOT(ISBLANK(SamplingData[[#This Row],[Candidate 7]]))),(SamplingData[[#This Row],[Total]]+SamplingData[[#This Row],[Winning Candidate]]-SamplingData[[#This Row],[Candidate 7]])/(SamplingData[[#Totals],[Winning Candidate]]-SamplingData[[#Totals],[Candidate 7]]), 0)</f>
        <v>0</v>
      </c>
      <c r="W349" s="100">
        <f>IF(AND(SamplingData[[#This Row],[Total]]&lt;&gt; 0, NOT(ISBLANK(SamplingData[[#This Row],[Candidate 8]]))),(SamplingData[[#This Row],[Total]]+SamplingData[[#This Row],[Winning Candidate]]-SamplingData[[#This Row],[Candidate 8]])/(SamplingData[[#Totals],[Winning Candidate]]-SamplingData[[#Totals],[Candidate 8]]), 0)</f>
        <v>0</v>
      </c>
      <c r="X3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9" s="100">
        <f>MAX(SamplingData[[#This Row],[Error Bound (up) - Max. possible relative overstatement - Losing Candidate]:[Error Bound (up) - Max. possible relative overstatement - Candidate 12]])</f>
        <v>1.7697996333986474E-3</v>
      </c>
      <c r="AC349" s="100">
        <f>IF(SamplingData[[#This Row],[Max Error Bound (up)]] = 0,0,SamplingData[[#This Row],[Max Error Bound (up)]]/SamplingData[[#Totals],[Max Error Bound (up)]])</f>
        <v>7.1828300474916125E-4</v>
      </c>
      <c r="AD349" s="104">
        <f>SUM($AC$5:AC349)</f>
        <v>0.91091651737358736</v>
      </c>
      <c r="AE349" s="100" t="str" cm="1">
        <f t="array" ref="AE349">IF(SamplingData[[#This Row],[up/U Selection Probability]] = 0, "Zero", TEXT(SamplingData[[#This Row],[Lower Range]], REPT("0",LEN('General Info'!$B$42))) &amp; " - " &amp; TEXT(SamplingData[[#This Row],[Upper Range]], REPT("0",LEN('General Info'!$B$42))))</f>
        <v>91020 - 91091</v>
      </c>
      <c r="AF349" s="100">
        <f>SamplingData[[#This Row],[Upper Range]]-SamplingData[[#This Row],[Span]]</f>
        <v>91019.823436883831</v>
      </c>
      <c r="AG349" s="100">
        <f>IF(ISNUMBER('General Info'!$B$42), ((SamplingData[[#This Row],[up/U Selection Probability]]) * 'General Info'!$B$44) - 1, 0)</f>
        <v>70.828300474916119</v>
      </c>
      <c r="AH349" s="100">
        <f>IF(ISNUMBER('General Info'!$B$42), (SamplingData[[#This Row],[Running (cumulative) sum]] * ('General Info'!$B$42 -'General Info'!$B$43 + 1)) + 'General Info'!$B$43 - 1, 0)</f>
        <v>91090.651737358741</v>
      </c>
      <c r="AI349" s="100" t="str">
        <f>IF(ISERROR(MATCH(SamplingData[[#This Row],[Batch by Type (p)]],SelectedPrecincts[Batch Name], 0)), "", INDEX(SelectedPrecincts[Draw], MATCH(SamplingData[[#This Row],[Batch by Type (p)]],SelectedPrecincts[Batch Name], 0)))</f>
        <v/>
      </c>
      <c r="AJ349" s="101">
        <f>IF(COUNTIF(SelectedPrecincts[Batch Name],SamplingData[[#This Row],[Batch by Type (p)]]) &lt;&gt; 0, COUNTIF(SelectedPrecincts[Batch Name],SamplingData[[#This Row],[Batch by Type (p)]]), 0)</f>
        <v>0</v>
      </c>
    </row>
    <row r="350" spans="1:36" ht="15" customHeight="1" x14ac:dyDescent="0.35">
      <c r="A350" s="98" t="s">
        <v>561</v>
      </c>
      <c r="B350" s="98">
        <v>46</v>
      </c>
      <c r="C350" s="98">
        <v>6</v>
      </c>
      <c r="D350" s="93">
        <v>1</v>
      </c>
      <c r="E350" s="93"/>
      <c r="F350" s="93"/>
      <c r="G350" s="97"/>
      <c r="H350" s="97"/>
      <c r="I350" s="93"/>
      <c r="J350" s="93"/>
      <c r="K350" s="93"/>
      <c r="L350" s="93"/>
      <c r="M350" s="93"/>
      <c r="N350" s="98">
        <v>0</v>
      </c>
      <c r="O350" s="98">
        <v>0</v>
      </c>
      <c r="P350" s="99">
        <f>SUM(SamplingData[[#This Row],[Winning Candidate]:[Under Votes]])</f>
        <v>53</v>
      </c>
      <c r="Q350" s="100">
        <f>IF(AND(SamplingData[[#This Row],[Total]]&lt;&gt; 0, NOT(ISBLANK(SamplingData[[#This Row],[Losing Candidate]]))),(SamplingData[[#This Row],[Total]]+SamplingData[[#This Row],[Winning Candidate]]-SamplingData[[#This Row],[Losing Candidate]])/(SamplingData[[#Totals],[Winning Candidate]]-SamplingData[[#Totals],[Losing Candidate]]), 0)</f>
        <v>5.8782630680740784E-3</v>
      </c>
      <c r="R350" s="100">
        <f>IF(AND(SamplingData[[#This Row],[Total]]&lt;&gt; 0, NOT(ISBLANK(SamplingData[[#This Row],[Candidate 3]]))),(SamplingData[[#This Row],[Total]]+SamplingData[[#This Row],[Winning Candidate]]-SamplingData[[#This Row],[Candidate 3]])/(SamplingData[[#Totals],[Winning Candidate]]-SamplingData[[#Totals],[Candidate 3]]), 0)</f>
        <v>5.5317227365093702E-3</v>
      </c>
      <c r="S350" s="100">
        <f>IF(AND(SamplingData[[#This Row],[Total]]&lt;&gt; 0, NOT(ISBLANK(SamplingData[[#This Row],[Candidate 4]]))),(SamplingData[[#This Row],[Total]]+SamplingData[[#This Row],[Winning Candidate]]-SamplingData[[#This Row],[Candidate 4]])/(SamplingData[[#Totals],[Winning Candidate]]-SamplingData[[#Totals],[Candidate 4]]), 0)</f>
        <v>0</v>
      </c>
      <c r="T350" s="100">
        <f>IF(AND(SamplingData[[#This Row],[Total]]&lt;&gt; 0, NOT(ISBLANK(SamplingData[[#This Row],[Candidate 5]]))),(SamplingData[[#This Row],[Total]]+SamplingData[[#This Row],[Winning Candidate]]-SamplingData[[#This Row],[Candidate 5]])/(SamplingData[[#Totals],[Winning Candidate]]-SamplingData[[#Totals],[Candidate 5]]), 0)</f>
        <v>0</v>
      </c>
      <c r="U350" s="100">
        <f>IF(AND(SamplingData[[#This Row],[Total]]&lt;&gt; 0, NOT(ISBLANK(SamplingData[[#This Row],[Candidate 6]]))),(SamplingData[[#This Row],[Total]]+SamplingData[[#This Row],[Losing Candidate]]-SamplingData[[#This Row],[Candidate 6]])/(SamplingData[[#Totals],[Winning Candidate]]-SamplingData[[#Totals],[Candidate 6]]), 0)</f>
        <v>0</v>
      </c>
      <c r="V350" s="100">
        <f>IF(AND(SamplingData[[#This Row],[Total]]&lt;&gt; 0, NOT(ISBLANK(SamplingData[[#This Row],[Candidate 7]]))),(SamplingData[[#This Row],[Total]]+SamplingData[[#This Row],[Winning Candidate]]-SamplingData[[#This Row],[Candidate 7]])/(SamplingData[[#Totals],[Winning Candidate]]-SamplingData[[#Totals],[Candidate 7]]), 0)</f>
        <v>0</v>
      </c>
      <c r="W350" s="100">
        <f>IF(AND(SamplingData[[#This Row],[Total]]&lt;&gt; 0, NOT(ISBLANK(SamplingData[[#This Row],[Candidate 8]]))),(SamplingData[[#This Row],[Total]]+SamplingData[[#This Row],[Winning Candidate]]-SamplingData[[#This Row],[Candidate 8]])/(SamplingData[[#Totals],[Winning Candidate]]-SamplingData[[#Totals],[Candidate 8]]), 0)</f>
        <v>0</v>
      </c>
      <c r="X3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0" s="100">
        <f>MAX(SamplingData[[#This Row],[Error Bound (up) - Max. possible relative overstatement - Losing Candidate]:[Error Bound (up) - Max. possible relative overstatement - Candidate 12]])</f>
        <v>5.8782630680740784E-3</v>
      </c>
      <c r="AC350" s="100">
        <f>IF(SamplingData[[#This Row],[Max Error Bound (up)]] = 0,0,SamplingData[[#This Row],[Max Error Bound (up)]]/SamplingData[[#Totals],[Max Error Bound (up)]])</f>
        <v>2.3857256943454284E-3</v>
      </c>
      <c r="AD350" s="104">
        <f>SUM($AC$5:AC350)</f>
        <v>0.91330224306793284</v>
      </c>
      <c r="AE350" s="100" t="str" cm="1">
        <f t="array" ref="AE350">IF(SamplingData[[#This Row],[up/U Selection Probability]] = 0, "Zero", TEXT(SamplingData[[#This Row],[Lower Range]], REPT("0",LEN('General Info'!$B$42))) &amp; " - " &amp; TEXT(SamplingData[[#This Row],[Upper Range]], REPT("0",LEN('General Info'!$B$42))))</f>
        <v>91092 - 91329</v>
      </c>
      <c r="AF350" s="100">
        <f>SamplingData[[#This Row],[Upper Range]]-SamplingData[[#This Row],[Span]]</f>
        <v>91091.651737358741</v>
      </c>
      <c r="AG350" s="100">
        <f>IF(ISNUMBER('General Info'!$B$42), ((SamplingData[[#This Row],[up/U Selection Probability]]) * 'General Info'!$B$44) - 1, 0)</f>
        <v>237.57256943454283</v>
      </c>
      <c r="AH350" s="100">
        <f>IF(ISNUMBER('General Info'!$B$42), (SamplingData[[#This Row],[Running (cumulative) sum]] * ('General Info'!$B$42 -'General Info'!$B$43 + 1)) + 'General Info'!$B$43 - 1, 0)</f>
        <v>91329.224306793287</v>
      </c>
      <c r="AI350" s="100" t="str">
        <f>IF(ISERROR(MATCH(SamplingData[[#This Row],[Batch by Type (p)]],SelectedPrecincts[Batch Name], 0)), "", INDEX(SelectedPrecincts[Draw], MATCH(SamplingData[[#This Row],[Batch by Type (p)]],SelectedPrecincts[Batch Name], 0)))</f>
        <v/>
      </c>
      <c r="AJ350" s="101">
        <f>IF(COUNTIF(SelectedPrecincts[Batch Name],SamplingData[[#This Row],[Batch by Type (p)]]) &lt;&gt; 0, COUNTIF(SelectedPrecincts[Batch Name],SamplingData[[#This Row],[Batch by Type (p)]]), 0)</f>
        <v>0</v>
      </c>
    </row>
    <row r="351" spans="1:36" ht="15" customHeight="1" x14ac:dyDescent="0.35">
      <c r="A351" s="98" t="s">
        <v>562</v>
      </c>
      <c r="B351" s="98">
        <v>64</v>
      </c>
      <c r="C351" s="98">
        <v>26</v>
      </c>
      <c r="D351" s="93">
        <v>4</v>
      </c>
      <c r="E351" s="93"/>
      <c r="F351" s="93"/>
      <c r="G351" s="97"/>
      <c r="H351" s="97"/>
      <c r="I351" s="93"/>
      <c r="J351" s="93"/>
      <c r="K351" s="93"/>
      <c r="L351" s="93"/>
      <c r="M351" s="93"/>
      <c r="N351" s="98">
        <v>0</v>
      </c>
      <c r="O351" s="98">
        <v>0</v>
      </c>
      <c r="P351" s="99">
        <f>SUM(SamplingData[[#This Row],[Winning Candidate]:[Under Votes]])</f>
        <v>94</v>
      </c>
      <c r="Q351" s="100">
        <f>IF(AND(SamplingData[[#This Row],[Total]]&lt;&gt; 0, NOT(ISBLANK(SamplingData[[#This Row],[Losing Candidate]]))),(SamplingData[[#This Row],[Total]]+SamplingData[[#This Row],[Winning Candidate]]-SamplingData[[#This Row],[Losing Candidate]])/(SamplingData[[#Totals],[Winning Candidate]]-SamplingData[[#Totals],[Losing Candidate]]), 0)</f>
        <v>8.3433411288793384E-3</v>
      </c>
      <c r="R351" s="100">
        <f>IF(AND(SamplingData[[#This Row],[Total]]&lt;&gt; 0, NOT(ISBLANK(SamplingData[[#This Row],[Candidate 3]]))),(SamplingData[[#This Row],[Total]]+SamplingData[[#This Row],[Winning Candidate]]-SamplingData[[#This Row],[Candidate 3]])/(SamplingData[[#Totals],[Winning Candidate]]-SamplingData[[#Totals],[Candidate 3]]), 0)</f>
        <v>8.6927071573718664E-3</v>
      </c>
      <c r="S351" s="100">
        <f>IF(AND(SamplingData[[#This Row],[Total]]&lt;&gt; 0, NOT(ISBLANK(SamplingData[[#This Row],[Candidate 4]]))),(SamplingData[[#This Row],[Total]]+SamplingData[[#This Row],[Winning Candidate]]-SamplingData[[#This Row],[Candidate 4]])/(SamplingData[[#Totals],[Winning Candidate]]-SamplingData[[#Totals],[Candidate 4]]), 0)</f>
        <v>0</v>
      </c>
      <c r="T351" s="100">
        <f>IF(AND(SamplingData[[#This Row],[Total]]&lt;&gt; 0, NOT(ISBLANK(SamplingData[[#This Row],[Candidate 5]]))),(SamplingData[[#This Row],[Total]]+SamplingData[[#This Row],[Winning Candidate]]-SamplingData[[#This Row],[Candidate 5]])/(SamplingData[[#Totals],[Winning Candidate]]-SamplingData[[#Totals],[Candidate 5]]), 0)</f>
        <v>0</v>
      </c>
      <c r="U351" s="100">
        <f>IF(AND(SamplingData[[#This Row],[Total]]&lt;&gt; 0, NOT(ISBLANK(SamplingData[[#This Row],[Candidate 6]]))),(SamplingData[[#This Row],[Total]]+SamplingData[[#This Row],[Losing Candidate]]-SamplingData[[#This Row],[Candidate 6]])/(SamplingData[[#Totals],[Winning Candidate]]-SamplingData[[#Totals],[Candidate 6]]), 0)</f>
        <v>0</v>
      </c>
      <c r="V351" s="100">
        <f>IF(AND(SamplingData[[#This Row],[Total]]&lt;&gt; 0, NOT(ISBLANK(SamplingData[[#This Row],[Candidate 7]]))),(SamplingData[[#This Row],[Total]]+SamplingData[[#This Row],[Winning Candidate]]-SamplingData[[#This Row],[Candidate 7]])/(SamplingData[[#Totals],[Winning Candidate]]-SamplingData[[#Totals],[Candidate 7]]), 0)</f>
        <v>0</v>
      </c>
      <c r="W351" s="100">
        <f>IF(AND(SamplingData[[#This Row],[Total]]&lt;&gt; 0, NOT(ISBLANK(SamplingData[[#This Row],[Candidate 8]]))),(SamplingData[[#This Row],[Total]]+SamplingData[[#This Row],[Winning Candidate]]-SamplingData[[#This Row],[Candidate 8]])/(SamplingData[[#Totals],[Winning Candidate]]-SamplingData[[#Totals],[Candidate 8]]), 0)</f>
        <v>0</v>
      </c>
      <c r="X3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1" s="100">
        <f>MAX(SamplingData[[#This Row],[Error Bound (up) - Max. possible relative overstatement - Losing Candidate]:[Error Bound (up) - Max. possible relative overstatement - Candidate 12]])</f>
        <v>8.6927071573718664E-3</v>
      </c>
      <c r="AC351" s="100">
        <f>IF(SamplingData[[#This Row],[Max Error Bound (up)]] = 0,0,SamplingData[[#This Row],[Max Error Bound (up)]]/SamplingData[[#Totals],[Max Error Bound (up)]])</f>
        <v>3.5279834499746354E-3</v>
      </c>
      <c r="AD351" s="104">
        <f>SUM($AC$5:AC351)</f>
        <v>0.91683022651790747</v>
      </c>
      <c r="AE351" s="100" t="str" cm="1">
        <f t="array" ref="AE351">IF(SamplingData[[#This Row],[up/U Selection Probability]] = 0, "Zero", TEXT(SamplingData[[#This Row],[Lower Range]], REPT("0",LEN('General Info'!$B$42))) &amp; " - " &amp; TEXT(SamplingData[[#This Row],[Upper Range]], REPT("0",LEN('General Info'!$B$42))))</f>
        <v>91330 - 91682</v>
      </c>
      <c r="AF351" s="100">
        <f>SamplingData[[#This Row],[Upper Range]]-SamplingData[[#This Row],[Span]]</f>
        <v>91330.224306793287</v>
      </c>
      <c r="AG351" s="100">
        <f>IF(ISNUMBER('General Info'!$B$42), ((SamplingData[[#This Row],[up/U Selection Probability]]) * 'General Info'!$B$44) - 1, 0)</f>
        <v>351.79834499746352</v>
      </c>
      <c r="AH351" s="100">
        <f>IF(ISNUMBER('General Info'!$B$42), (SamplingData[[#This Row],[Running (cumulative) sum]] * ('General Info'!$B$42 -'General Info'!$B$43 + 1)) + 'General Info'!$B$43 - 1, 0)</f>
        <v>91682.022651790743</v>
      </c>
      <c r="AI351" s="100" t="str">
        <f>IF(ISERROR(MATCH(SamplingData[[#This Row],[Batch by Type (p)]],SelectedPrecincts[Batch Name], 0)), "", INDEX(SelectedPrecincts[Draw], MATCH(SamplingData[[#This Row],[Batch by Type (p)]],SelectedPrecincts[Batch Name], 0)))</f>
        <v/>
      </c>
      <c r="AJ351" s="101">
        <f>IF(COUNTIF(SelectedPrecincts[Batch Name],SamplingData[[#This Row],[Batch by Type (p)]]) &lt;&gt; 0, COUNTIF(SelectedPrecincts[Batch Name],SamplingData[[#This Row],[Batch by Type (p)]]), 0)</f>
        <v>0</v>
      </c>
    </row>
    <row r="352" spans="1:36" ht="15" customHeight="1" x14ac:dyDescent="0.35">
      <c r="A352" s="98" t="s">
        <v>563</v>
      </c>
      <c r="B352" s="98">
        <v>1</v>
      </c>
      <c r="C352" s="98">
        <v>0</v>
      </c>
      <c r="D352" s="93">
        <v>0</v>
      </c>
      <c r="E352" s="93"/>
      <c r="F352" s="93"/>
      <c r="G352" s="97"/>
      <c r="H352" s="97"/>
      <c r="I352" s="93"/>
      <c r="J352" s="93"/>
      <c r="K352" s="93"/>
      <c r="L352" s="93"/>
      <c r="M352" s="93"/>
      <c r="N352" s="98">
        <v>0</v>
      </c>
      <c r="O352" s="98">
        <v>0</v>
      </c>
      <c r="P352" s="99">
        <f>SUM(SamplingData[[#This Row],[Winning Candidate]:[Under Votes]])</f>
        <v>1</v>
      </c>
      <c r="Q352" s="100">
        <f>IF(AND(SamplingData[[#This Row],[Total]]&lt;&gt; 0, NOT(ISBLANK(SamplingData[[#This Row],[Losing Candidate]]))),(SamplingData[[#This Row],[Total]]+SamplingData[[#This Row],[Winning Candidate]]-SamplingData[[#This Row],[Losing Candidate]])/(SamplingData[[#Totals],[Winning Candidate]]-SamplingData[[#Totals],[Losing Candidate]]), 0)</f>
        <v>1.2641425952847481E-4</v>
      </c>
      <c r="R352" s="100">
        <f>IF(AND(SamplingData[[#This Row],[Total]]&lt;&gt; 0, NOT(ISBLANK(SamplingData[[#This Row],[Candidate 3]]))),(SamplingData[[#This Row],[Total]]+SamplingData[[#This Row],[Winning Candidate]]-SamplingData[[#This Row],[Candidate 3]])/(SamplingData[[#Totals],[Winning Candidate]]-SamplingData[[#Totals],[Candidate 3]]), 0)</f>
        <v>1.1289230074508918E-4</v>
      </c>
      <c r="S352" s="100">
        <f>IF(AND(SamplingData[[#This Row],[Total]]&lt;&gt; 0, NOT(ISBLANK(SamplingData[[#This Row],[Candidate 4]]))),(SamplingData[[#This Row],[Total]]+SamplingData[[#This Row],[Winning Candidate]]-SamplingData[[#This Row],[Candidate 4]])/(SamplingData[[#Totals],[Winning Candidate]]-SamplingData[[#Totals],[Candidate 4]]), 0)</f>
        <v>0</v>
      </c>
      <c r="T352" s="100">
        <f>IF(AND(SamplingData[[#This Row],[Total]]&lt;&gt; 0, NOT(ISBLANK(SamplingData[[#This Row],[Candidate 5]]))),(SamplingData[[#This Row],[Total]]+SamplingData[[#This Row],[Winning Candidate]]-SamplingData[[#This Row],[Candidate 5]])/(SamplingData[[#Totals],[Winning Candidate]]-SamplingData[[#Totals],[Candidate 5]]), 0)</f>
        <v>0</v>
      </c>
      <c r="U352" s="100">
        <f>IF(AND(SamplingData[[#This Row],[Total]]&lt;&gt; 0, NOT(ISBLANK(SamplingData[[#This Row],[Candidate 6]]))),(SamplingData[[#This Row],[Total]]+SamplingData[[#This Row],[Losing Candidate]]-SamplingData[[#This Row],[Candidate 6]])/(SamplingData[[#Totals],[Winning Candidate]]-SamplingData[[#Totals],[Candidate 6]]), 0)</f>
        <v>0</v>
      </c>
      <c r="V352" s="100">
        <f>IF(AND(SamplingData[[#This Row],[Total]]&lt;&gt; 0, NOT(ISBLANK(SamplingData[[#This Row],[Candidate 7]]))),(SamplingData[[#This Row],[Total]]+SamplingData[[#This Row],[Winning Candidate]]-SamplingData[[#This Row],[Candidate 7]])/(SamplingData[[#Totals],[Winning Candidate]]-SamplingData[[#Totals],[Candidate 7]]), 0)</f>
        <v>0</v>
      </c>
      <c r="W352" s="100">
        <f>IF(AND(SamplingData[[#This Row],[Total]]&lt;&gt; 0, NOT(ISBLANK(SamplingData[[#This Row],[Candidate 8]]))),(SamplingData[[#This Row],[Total]]+SamplingData[[#This Row],[Winning Candidate]]-SamplingData[[#This Row],[Candidate 8]])/(SamplingData[[#Totals],[Winning Candidate]]-SamplingData[[#Totals],[Candidate 8]]), 0)</f>
        <v>0</v>
      </c>
      <c r="X3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2" s="100">
        <f>MAX(SamplingData[[#This Row],[Error Bound (up) - Max. possible relative overstatement - Losing Candidate]:[Error Bound (up) - Max. possible relative overstatement - Candidate 12]])</f>
        <v>1.2641425952847481E-4</v>
      </c>
      <c r="AC352" s="100">
        <f>IF(SamplingData[[#This Row],[Max Error Bound (up)]] = 0,0,SamplingData[[#This Row],[Max Error Bound (up)]]/SamplingData[[#Totals],[Max Error Bound (up)]])</f>
        <v>5.1305928910654381E-5</v>
      </c>
      <c r="AD352" s="104">
        <f>SUM($AC$5:AC352)</f>
        <v>0.91688153244681814</v>
      </c>
      <c r="AE352" s="100" t="str" cm="1">
        <f t="array" ref="AE352">IF(SamplingData[[#This Row],[up/U Selection Probability]] = 0, "Zero", TEXT(SamplingData[[#This Row],[Lower Range]], REPT("0",LEN('General Info'!$B$42))) &amp; " - " &amp; TEXT(SamplingData[[#This Row],[Upper Range]], REPT("0",LEN('General Info'!$B$42))))</f>
        <v>91683 - 91687</v>
      </c>
      <c r="AF352" s="100">
        <f>SamplingData[[#This Row],[Upper Range]]-SamplingData[[#This Row],[Span]]</f>
        <v>91683.022651790758</v>
      </c>
      <c r="AG352" s="100">
        <f>IF(ISNUMBER('General Info'!$B$42), ((SamplingData[[#This Row],[up/U Selection Probability]]) * 'General Info'!$B$44) - 1, 0)</f>
        <v>4.1305928910654384</v>
      </c>
      <c r="AH352" s="100">
        <f>IF(ISNUMBER('General Info'!$B$42), (SamplingData[[#This Row],[Running (cumulative) sum]] * ('General Info'!$B$42 -'General Info'!$B$43 + 1)) + 'General Info'!$B$43 - 1, 0)</f>
        <v>91687.153244681816</v>
      </c>
      <c r="AI352" s="100" t="str">
        <f>IF(ISERROR(MATCH(SamplingData[[#This Row],[Batch by Type (p)]],SelectedPrecincts[Batch Name], 0)), "", INDEX(SelectedPrecincts[Draw], MATCH(SamplingData[[#This Row],[Batch by Type (p)]],SelectedPrecincts[Batch Name], 0)))</f>
        <v/>
      </c>
      <c r="AJ352" s="101">
        <f>IF(COUNTIF(SelectedPrecincts[Batch Name],SamplingData[[#This Row],[Batch by Type (p)]]) &lt;&gt; 0, COUNTIF(SelectedPrecincts[Batch Name],SamplingData[[#This Row],[Batch by Type (p)]]), 0)</f>
        <v>0</v>
      </c>
    </row>
    <row r="353" spans="1:36" ht="15" customHeight="1" x14ac:dyDescent="0.35">
      <c r="A353" s="98" t="s">
        <v>564</v>
      </c>
      <c r="B353" s="98">
        <v>8</v>
      </c>
      <c r="C353" s="98">
        <v>1</v>
      </c>
      <c r="D353" s="93">
        <v>0</v>
      </c>
      <c r="E353" s="93"/>
      <c r="F353" s="93"/>
      <c r="G353" s="97"/>
      <c r="H353" s="97"/>
      <c r="I353" s="93"/>
      <c r="J353" s="93"/>
      <c r="K353" s="93"/>
      <c r="L353" s="93"/>
      <c r="M353" s="93"/>
      <c r="N353" s="98">
        <v>0</v>
      </c>
      <c r="O353" s="98">
        <v>0</v>
      </c>
      <c r="P353" s="99">
        <f>SUM(SamplingData[[#This Row],[Winning Candidate]:[Under Votes]])</f>
        <v>9</v>
      </c>
      <c r="Q353" s="100">
        <f>IF(AND(SamplingData[[#This Row],[Total]]&lt;&gt; 0, NOT(ISBLANK(SamplingData[[#This Row],[Losing Candidate]]))),(SamplingData[[#This Row],[Total]]+SamplingData[[#This Row],[Winning Candidate]]-SamplingData[[#This Row],[Losing Candidate]])/(SamplingData[[#Totals],[Winning Candidate]]-SamplingData[[#Totals],[Losing Candidate]]), 0)</f>
        <v>1.0113140762277985E-3</v>
      </c>
      <c r="R353" s="100">
        <f>IF(AND(SamplingData[[#This Row],[Total]]&lt;&gt; 0, NOT(ISBLANK(SamplingData[[#This Row],[Candidate 3]]))),(SamplingData[[#This Row],[Total]]+SamplingData[[#This Row],[Winning Candidate]]-SamplingData[[#This Row],[Candidate 3]])/(SamplingData[[#Totals],[Winning Candidate]]-SamplingData[[#Totals],[Candidate 3]]), 0)</f>
        <v>9.5958455633325809E-4</v>
      </c>
      <c r="S353" s="100">
        <f>IF(AND(SamplingData[[#This Row],[Total]]&lt;&gt; 0, NOT(ISBLANK(SamplingData[[#This Row],[Candidate 4]]))),(SamplingData[[#This Row],[Total]]+SamplingData[[#This Row],[Winning Candidate]]-SamplingData[[#This Row],[Candidate 4]])/(SamplingData[[#Totals],[Winning Candidate]]-SamplingData[[#Totals],[Candidate 4]]), 0)</f>
        <v>0</v>
      </c>
      <c r="T353" s="100">
        <f>IF(AND(SamplingData[[#This Row],[Total]]&lt;&gt; 0, NOT(ISBLANK(SamplingData[[#This Row],[Candidate 5]]))),(SamplingData[[#This Row],[Total]]+SamplingData[[#This Row],[Winning Candidate]]-SamplingData[[#This Row],[Candidate 5]])/(SamplingData[[#Totals],[Winning Candidate]]-SamplingData[[#Totals],[Candidate 5]]), 0)</f>
        <v>0</v>
      </c>
      <c r="U353" s="100">
        <f>IF(AND(SamplingData[[#This Row],[Total]]&lt;&gt; 0, NOT(ISBLANK(SamplingData[[#This Row],[Candidate 6]]))),(SamplingData[[#This Row],[Total]]+SamplingData[[#This Row],[Losing Candidate]]-SamplingData[[#This Row],[Candidate 6]])/(SamplingData[[#Totals],[Winning Candidate]]-SamplingData[[#Totals],[Candidate 6]]), 0)</f>
        <v>0</v>
      </c>
      <c r="V353" s="100">
        <f>IF(AND(SamplingData[[#This Row],[Total]]&lt;&gt; 0, NOT(ISBLANK(SamplingData[[#This Row],[Candidate 7]]))),(SamplingData[[#This Row],[Total]]+SamplingData[[#This Row],[Winning Candidate]]-SamplingData[[#This Row],[Candidate 7]])/(SamplingData[[#Totals],[Winning Candidate]]-SamplingData[[#Totals],[Candidate 7]]), 0)</f>
        <v>0</v>
      </c>
      <c r="W353" s="100">
        <f>IF(AND(SamplingData[[#This Row],[Total]]&lt;&gt; 0, NOT(ISBLANK(SamplingData[[#This Row],[Candidate 8]]))),(SamplingData[[#This Row],[Total]]+SamplingData[[#This Row],[Winning Candidate]]-SamplingData[[#This Row],[Candidate 8]])/(SamplingData[[#Totals],[Winning Candidate]]-SamplingData[[#Totals],[Candidate 8]]), 0)</f>
        <v>0</v>
      </c>
      <c r="X3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3" s="100">
        <f>MAX(SamplingData[[#This Row],[Error Bound (up) - Max. possible relative overstatement - Losing Candidate]:[Error Bound (up) - Max. possible relative overstatement - Candidate 12]])</f>
        <v>1.0113140762277985E-3</v>
      </c>
      <c r="AC353" s="100">
        <f>IF(SamplingData[[#This Row],[Max Error Bound (up)]] = 0,0,SamplingData[[#This Row],[Max Error Bound (up)]]/SamplingData[[#Totals],[Max Error Bound (up)]])</f>
        <v>4.1044743128523505E-4</v>
      </c>
      <c r="AD353" s="104">
        <f>SUM($AC$5:AC353)</f>
        <v>0.9172919798781034</v>
      </c>
      <c r="AE353" s="100" t="str" cm="1">
        <f t="array" ref="AE353">IF(SamplingData[[#This Row],[up/U Selection Probability]] = 0, "Zero", TEXT(SamplingData[[#This Row],[Lower Range]], REPT("0",LEN('General Info'!$B$42))) &amp; " - " &amp; TEXT(SamplingData[[#This Row],[Upper Range]], REPT("0",LEN('General Info'!$B$42))))</f>
        <v>91688 - 91728</v>
      </c>
      <c r="AF353" s="100">
        <f>SamplingData[[#This Row],[Upper Range]]-SamplingData[[#This Row],[Span]]</f>
        <v>91688.153244681816</v>
      </c>
      <c r="AG353" s="100">
        <f>IF(ISNUMBER('General Info'!$B$42), ((SamplingData[[#This Row],[up/U Selection Probability]]) * 'General Info'!$B$44) - 1, 0)</f>
        <v>40.044743128523507</v>
      </c>
      <c r="AH353" s="100">
        <f>IF(ISNUMBER('General Info'!$B$42), (SamplingData[[#This Row],[Running (cumulative) sum]] * ('General Info'!$B$42 -'General Info'!$B$43 + 1)) + 'General Info'!$B$43 - 1, 0)</f>
        <v>91728.197987810345</v>
      </c>
      <c r="AI353" s="100" t="str">
        <f>IF(ISERROR(MATCH(SamplingData[[#This Row],[Batch by Type (p)]],SelectedPrecincts[Batch Name], 0)), "", INDEX(SelectedPrecincts[Draw], MATCH(SamplingData[[#This Row],[Batch by Type (p)]],SelectedPrecincts[Batch Name], 0)))</f>
        <v/>
      </c>
      <c r="AJ353" s="101">
        <f>IF(COUNTIF(SelectedPrecincts[Batch Name],SamplingData[[#This Row],[Batch by Type (p)]]) &lt;&gt; 0, COUNTIF(SelectedPrecincts[Batch Name],SamplingData[[#This Row],[Batch by Type (p)]]), 0)</f>
        <v>0</v>
      </c>
    </row>
    <row r="354" spans="1:36" ht="15" customHeight="1" x14ac:dyDescent="0.35">
      <c r="A354" s="98" t="s">
        <v>565</v>
      </c>
      <c r="B354" s="98">
        <v>38</v>
      </c>
      <c r="C354" s="98">
        <v>2</v>
      </c>
      <c r="D354" s="93">
        <v>3</v>
      </c>
      <c r="E354" s="93"/>
      <c r="F354" s="93"/>
      <c r="G354" s="97"/>
      <c r="H354" s="97"/>
      <c r="I354" s="93"/>
      <c r="J354" s="93"/>
      <c r="K354" s="93"/>
      <c r="L354" s="93"/>
      <c r="M354" s="93"/>
      <c r="N354" s="98">
        <v>0</v>
      </c>
      <c r="O354" s="98">
        <v>0</v>
      </c>
      <c r="P354" s="99">
        <f>SUM(SamplingData[[#This Row],[Winning Candidate]:[Under Votes]])</f>
        <v>43</v>
      </c>
      <c r="Q354" s="100">
        <f>IF(AND(SamplingData[[#This Row],[Total]]&lt;&gt; 0, NOT(ISBLANK(SamplingData[[#This Row],[Losing Candidate]]))),(SamplingData[[#This Row],[Total]]+SamplingData[[#This Row],[Winning Candidate]]-SamplingData[[#This Row],[Losing Candidate]])/(SamplingData[[#Totals],[Winning Candidate]]-SamplingData[[#Totals],[Losing Candidate]]), 0)</f>
        <v>4.993363251374755E-3</v>
      </c>
      <c r="R354" s="100">
        <f>IF(AND(SamplingData[[#This Row],[Total]]&lt;&gt; 0, NOT(ISBLANK(SamplingData[[#This Row],[Candidate 3]]))),(SamplingData[[#This Row],[Total]]+SamplingData[[#This Row],[Winning Candidate]]-SamplingData[[#This Row],[Candidate 3]])/(SamplingData[[#Totals],[Winning Candidate]]-SamplingData[[#Totals],[Candidate 3]]), 0)</f>
        <v>4.4027997290584783E-3</v>
      </c>
      <c r="S354" s="100">
        <f>IF(AND(SamplingData[[#This Row],[Total]]&lt;&gt; 0, NOT(ISBLANK(SamplingData[[#This Row],[Candidate 4]]))),(SamplingData[[#This Row],[Total]]+SamplingData[[#This Row],[Winning Candidate]]-SamplingData[[#This Row],[Candidate 4]])/(SamplingData[[#Totals],[Winning Candidate]]-SamplingData[[#Totals],[Candidate 4]]), 0)</f>
        <v>0</v>
      </c>
      <c r="T354" s="100">
        <f>IF(AND(SamplingData[[#This Row],[Total]]&lt;&gt; 0, NOT(ISBLANK(SamplingData[[#This Row],[Candidate 5]]))),(SamplingData[[#This Row],[Total]]+SamplingData[[#This Row],[Winning Candidate]]-SamplingData[[#This Row],[Candidate 5]])/(SamplingData[[#Totals],[Winning Candidate]]-SamplingData[[#Totals],[Candidate 5]]), 0)</f>
        <v>0</v>
      </c>
      <c r="U354" s="100">
        <f>IF(AND(SamplingData[[#This Row],[Total]]&lt;&gt; 0, NOT(ISBLANK(SamplingData[[#This Row],[Candidate 6]]))),(SamplingData[[#This Row],[Total]]+SamplingData[[#This Row],[Losing Candidate]]-SamplingData[[#This Row],[Candidate 6]])/(SamplingData[[#Totals],[Winning Candidate]]-SamplingData[[#Totals],[Candidate 6]]), 0)</f>
        <v>0</v>
      </c>
      <c r="V354" s="100">
        <f>IF(AND(SamplingData[[#This Row],[Total]]&lt;&gt; 0, NOT(ISBLANK(SamplingData[[#This Row],[Candidate 7]]))),(SamplingData[[#This Row],[Total]]+SamplingData[[#This Row],[Winning Candidate]]-SamplingData[[#This Row],[Candidate 7]])/(SamplingData[[#Totals],[Winning Candidate]]-SamplingData[[#Totals],[Candidate 7]]), 0)</f>
        <v>0</v>
      </c>
      <c r="W354" s="100">
        <f>IF(AND(SamplingData[[#This Row],[Total]]&lt;&gt; 0, NOT(ISBLANK(SamplingData[[#This Row],[Candidate 8]]))),(SamplingData[[#This Row],[Total]]+SamplingData[[#This Row],[Winning Candidate]]-SamplingData[[#This Row],[Candidate 8]])/(SamplingData[[#Totals],[Winning Candidate]]-SamplingData[[#Totals],[Candidate 8]]), 0)</f>
        <v>0</v>
      </c>
      <c r="X3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4" s="100">
        <f>MAX(SamplingData[[#This Row],[Error Bound (up) - Max. possible relative overstatement - Losing Candidate]:[Error Bound (up) - Max. possible relative overstatement - Candidate 12]])</f>
        <v>4.993363251374755E-3</v>
      </c>
      <c r="AC354" s="100">
        <f>IF(SamplingData[[#This Row],[Max Error Bound (up)]] = 0,0,SamplingData[[#This Row],[Max Error Bound (up)]]/SamplingData[[#Totals],[Max Error Bound (up)]])</f>
        <v>2.0265841919708477E-3</v>
      </c>
      <c r="AD354" s="104">
        <f>SUM($AC$5:AC354)</f>
        <v>0.91931856407007428</v>
      </c>
      <c r="AE354" s="100" t="str" cm="1">
        <f t="array" ref="AE354">IF(SamplingData[[#This Row],[up/U Selection Probability]] = 0, "Zero", TEXT(SamplingData[[#This Row],[Lower Range]], REPT("0",LEN('General Info'!$B$42))) &amp; " - " &amp; TEXT(SamplingData[[#This Row],[Upper Range]], REPT("0",LEN('General Info'!$B$42))))</f>
        <v>91729 - 91931</v>
      </c>
      <c r="AF354" s="100">
        <f>SamplingData[[#This Row],[Upper Range]]-SamplingData[[#This Row],[Span]]</f>
        <v>91729.197987810345</v>
      </c>
      <c r="AG354" s="100">
        <f>IF(ISNUMBER('General Info'!$B$42), ((SamplingData[[#This Row],[up/U Selection Probability]]) * 'General Info'!$B$44) - 1, 0)</f>
        <v>201.65841919708478</v>
      </c>
      <c r="AH354" s="100">
        <f>IF(ISNUMBER('General Info'!$B$42), (SamplingData[[#This Row],[Running (cumulative) sum]] * ('General Info'!$B$42 -'General Info'!$B$43 + 1)) + 'General Info'!$B$43 - 1, 0)</f>
        <v>91930.856407007435</v>
      </c>
      <c r="AI354" s="100" t="str">
        <f>IF(ISERROR(MATCH(SamplingData[[#This Row],[Batch by Type (p)]],SelectedPrecincts[Batch Name], 0)), "", INDEX(SelectedPrecincts[Draw], MATCH(SamplingData[[#This Row],[Batch by Type (p)]],SelectedPrecincts[Batch Name], 0)))</f>
        <v/>
      </c>
      <c r="AJ354" s="101">
        <f>IF(COUNTIF(SelectedPrecincts[Batch Name],SamplingData[[#This Row],[Batch by Type (p)]]) &lt;&gt; 0, COUNTIF(SelectedPrecincts[Batch Name],SamplingData[[#This Row],[Batch by Type (p)]]), 0)</f>
        <v>0</v>
      </c>
    </row>
    <row r="355" spans="1:36" ht="15" customHeight="1" x14ac:dyDescent="0.35">
      <c r="A355" s="98" t="s">
        <v>566</v>
      </c>
      <c r="B355" s="98">
        <v>18</v>
      </c>
      <c r="C355" s="98">
        <v>6</v>
      </c>
      <c r="D355" s="93">
        <v>2</v>
      </c>
      <c r="E355" s="93"/>
      <c r="F355" s="93"/>
      <c r="G355" s="97"/>
      <c r="H355" s="97"/>
      <c r="I355" s="93"/>
      <c r="J355" s="93"/>
      <c r="K355" s="93"/>
      <c r="L355" s="93"/>
      <c r="M355" s="93"/>
      <c r="N355" s="98">
        <v>0</v>
      </c>
      <c r="O355" s="98">
        <v>0</v>
      </c>
      <c r="P355" s="99">
        <f>SUM(SamplingData[[#This Row],[Winning Candidate]:[Under Votes]])</f>
        <v>26</v>
      </c>
      <c r="Q355" s="100">
        <f>IF(AND(SamplingData[[#This Row],[Total]]&lt;&gt; 0, NOT(ISBLANK(SamplingData[[#This Row],[Losing Candidate]]))),(SamplingData[[#This Row],[Total]]+SamplingData[[#This Row],[Winning Candidate]]-SamplingData[[#This Row],[Losing Candidate]])/(SamplingData[[#Totals],[Winning Candidate]]-SamplingData[[#Totals],[Losing Candidate]]), 0)</f>
        <v>2.4018709310410216E-3</v>
      </c>
      <c r="R355" s="100">
        <f>IF(AND(SamplingData[[#This Row],[Total]]&lt;&gt; 0, NOT(ISBLANK(SamplingData[[#This Row],[Candidate 3]]))),(SamplingData[[#This Row],[Total]]+SamplingData[[#This Row],[Winning Candidate]]-SamplingData[[#This Row],[Candidate 3]])/(SamplingData[[#Totals],[Winning Candidate]]-SamplingData[[#Totals],[Candidate 3]]), 0)</f>
        <v>2.3707383156468731E-3</v>
      </c>
      <c r="S355" s="100">
        <f>IF(AND(SamplingData[[#This Row],[Total]]&lt;&gt; 0, NOT(ISBLANK(SamplingData[[#This Row],[Candidate 4]]))),(SamplingData[[#This Row],[Total]]+SamplingData[[#This Row],[Winning Candidate]]-SamplingData[[#This Row],[Candidate 4]])/(SamplingData[[#Totals],[Winning Candidate]]-SamplingData[[#Totals],[Candidate 4]]), 0)</f>
        <v>0</v>
      </c>
      <c r="T355" s="100">
        <f>IF(AND(SamplingData[[#This Row],[Total]]&lt;&gt; 0, NOT(ISBLANK(SamplingData[[#This Row],[Candidate 5]]))),(SamplingData[[#This Row],[Total]]+SamplingData[[#This Row],[Winning Candidate]]-SamplingData[[#This Row],[Candidate 5]])/(SamplingData[[#Totals],[Winning Candidate]]-SamplingData[[#Totals],[Candidate 5]]), 0)</f>
        <v>0</v>
      </c>
      <c r="U355" s="100">
        <f>IF(AND(SamplingData[[#This Row],[Total]]&lt;&gt; 0, NOT(ISBLANK(SamplingData[[#This Row],[Candidate 6]]))),(SamplingData[[#This Row],[Total]]+SamplingData[[#This Row],[Losing Candidate]]-SamplingData[[#This Row],[Candidate 6]])/(SamplingData[[#Totals],[Winning Candidate]]-SamplingData[[#Totals],[Candidate 6]]), 0)</f>
        <v>0</v>
      </c>
      <c r="V355" s="100">
        <f>IF(AND(SamplingData[[#This Row],[Total]]&lt;&gt; 0, NOT(ISBLANK(SamplingData[[#This Row],[Candidate 7]]))),(SamplingData[[#This Row],[Total]]+SamplingData[[#This Row],[Winning Candidate]]-SamplingData[[#This Row],[Candidate 7]])/(SamplingData[[#Totals],[Winning Candidate]]-SamplingData[[#Totals],[Candidate 7]]), 0)</f>
        <v>0</v>
      </c>
      <c r="W355" s="100">
        <f>IF(AND(SamplingData[[#This Row],[Total]]&lt;&gt; 0, NOT(ISBLANK(SamplingData[[#This Row],[Candidate 8]]))),(SamplingData[[#This Row],[Total]]+SamplingData[[#This Row],[Winning Candidate]]-SamplingData[[#This Row],[Candidate 8]])/(SamplingData[[#Totals],[Winning Candidate]]-SamplingData[[#Totals],[Candidate 8]]), 0)</f>
        <v>0</v>
      </c>
      <c r="X3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5" s="100">
        <f>MAX(SamplingData[[#This Row],[Error Bound (up) - Max. possible relative overstatement - Losing Candidate]:[Error Bound (up) - Max. possible relative overstatement - Candidate 12]])</f>
        <v>2.4018709310410216E-3</v>
      </c>
      <c r="AC355" s="100">
        <f>IF(SamplingData[[#This Row],[Max Error Bound (up)]] = 0,0,SamplingData[[#This Row],[Max Error Bound (up)]]/SamplingData[[#Totals],[Max Error Bound (up)]])</f>
        <v>9.7481264930243325E-4</v>
      </c>
      <c r="AD355" s="104">
        <f>SUM($AC$5:AC355)</f>
        <v>0.92029337671937672</v>
      </c>
      <c r="AE355" s="100" t="str" cm="1">
        <f t="array" ref="AE355">IF(SamplingData[[#This Row],[up/U Selection Probability]] = 0, "Zero", TEXT(SamplingData[[#This Row],[Lower Range]], REPT("0",LEN('General Info'!$B$42))) &amp; " - " &amp; TEXT(SamplingData[[#This Row],[Upper Range]], REPT("0",LEN('General Info'!$B$42))))</f>
        <v>91932 - 92028</v>
      </c>
      <c r="AF355" s="100">
        <f>SamplingData[[#This Row],[Upper Range]]-SamplingData[[#This Row],[Span]]</f>
        <v>91931.856407007421</v>
      </c>
      <c r="AG355" s="100">
        <f>IF(ISNUMBER('General Info'!$B$42), ((SamplingData[[#This Row],[up/U Selection Probability]]) * 'General Info'!$B$44) - 1, 0)</f>
        <v>96.481264930243327</v>
      </c>
      <c r="AH355" s="100">
        <f>IF(ISNUMBER('General Info'!$B$42), (SamplingData[[#This Row],[Running (cumulative) sum]] * ('General Info'!$B$42 -'General Info'!$B$43 + 1)) + 'General Info'!$B$43 - 1, 0)</f>
        <v>92028.337671937668</v>
      </c>
      <c r="AI355" s="100" t="str">
        <f>IF(ISERROR(MATCH(SamplingData[[#This Row],[Batch by Type (p)]],SelectedPrecincts[Batch Name], 0)), "", INDEX(SelectedPrecincts[Draw], MATCH(SamplingData[[#This Row],[Batch by Type (p)]],SelectedPrecincts[Batch Name], 0)))</f>
        <v/>
      </c>
      <c r="AJ355" s="101">
        <f>IF(COUNTIF(SelectedPrecincts[Batch Name],SamplingData[[#This Row],[Batch by Type (p)]]) &lt;&gt; 0, COUNTIF(SelectedPrecincts[Batch Name],SamplingData[[#This Row],[Batch by Type (p)]]), 0)</f>
        <v>0</v>
      </c>
    </row>
    <row r="356" spans="1:36" ht="15" customHeight="1" x14ac:dyDescent="0.35">
      <c r="A356" s="98" t="s">
        <v>567</v>
      </c>
      <c r="B356" s="98">
        <v>77</v>
      </c>
      <c r="C356" s="98">
        <v>39</v>
      </c>
      <c r="D356" s="93">
        <v>11</v>
      </c>
      <c r="E356" s="93"/>
      <c r="F356" s="93"/>
      <c r="G356" s="97"/>
      <c r="H356" s="97"/>
      <c r="I356" s="93"/>
      <c r="J356" s="93"/>
      <c r="K356" s="93"/>
      <c r="L356" s="93"/>
      <c r="M356" s="93"/>
      <c r="N356" s="98">
        <v>0</v>
      </c>
      <c r="O356" s="98">
        <v>0</v>
      </c>
      <c r="P356" s="99">
        <f>SUM(SamplingData[[#This Row],[Winning Candidate]:[Under Votes]])</f>
        <v>127</v>
      </c>
      <c r="Q356" s="100">
        <f>IF(AND(SamplingData[[#This Row],[Total]]&lt;&gt; 0, NOT(ISBLANK(SamplingData[[#This Row],[Losing Candidate]]))),(SamplingData[[#This Row],[Total]]+SamplingData[[#This Row],[Winning Candidate]]-SamplingData[[#This Row],[Losing Candidate]])/(SamplingData[[#Totals],[Winning Candidate]]-SamplingData[[#Totals],[Losing Candidate]]), 0)</f>
        <v>1.0429176411099172E-2</v>
      </c>
      <c r="R356" s="100">
        <f>IF(AND(SamplingData[[#This Row],[Total]]&lt;&gt; 0, NOT(ISBLANK(SamplingData[[#This Row],[Candidate 3]]))),(SamplingData[[#This Row],[Total]]+SamplingData[[#This Row],[Winning Candidate]]-SamplingData[[#This Row],[Candidate 3]])/(SamplingData[[#Totals],[Winning Candidate]]-SamplingData[[#Totals],[Candidate 3]]), 0)</f>
        <v>1.0894107021901106E-2</v>
      </c>
      <c r="S356" s="100">
        <f>IF(AND(SamplingData[[#This Row],[Total]]&lt;&gt; 0, NOT(ISBLANK(SamplingData[[#This Row],[Candidate 4]]))),(SamplingData[[#This Row],[Total]]+SamplingData[[#This Row],[Winning Candidate]]-SamplingData[[#This Row],[Candidate 4]])/(SamplingData[[#Totals],[Winning Candidate]]-SamplingData[[#Totals],[Candidate 4]]), 0)</f>
        <v>0</v>
      </c>
      <c r="T356" s="100">
        <f>IF(AND(SamplingData[[#This Row],[Total]]&lt;&gt; 0, NOT(ISBLANK(SamplingData[[#This Row],[Candidate 5]]))),(SamplingData[[#This Row],[Total]]+SamplingData[[#This Row],[Winning Candidate]]-SamplingData[[#This Row],[Candidate 5]])/(SamplingData[[#Totals],[Winning Candidate]]-SamplingData[[#Totals],[Candidate 5]]), 0)</f>
        <v>0</v>
      </c>
      <c r="U356" s="100">
        <f>IF(AND(SamplingData[[#This Row],[Total]]&lt;&gt; 0, NOT(ISBLANK(SamplingData[[#This Row],[Candidate 6]]))),(SamplingData[[#This Row],[Total]]+SamplingData[[#This Row],[Losing Candidate]]-SamplingData[[#This Row],[Candidate 6]])/(SamplingData[[#Totals],[Winning Candidate]]-SamplingData[[#Totals],[Candidate 6]]), 0)</f>
        <v>0</v>
      </c>
      <c r="V356" s="100">
        <f>IF(AND(SamplingData[[#This Row],[Total]]&lt;&gt; 0, NOT(ISBLANK(SamplingData[[#This Row],[Candidate 7]]))),(SamplingData[[#This Row],[Total]]+SamplingData[[#This Row],[Winning Candidate]]-SamplingData[[#This Row],[Candidate 7]])/(SamplingData[[#Totals],[Winning Candidate]]-SamplingData[[#Totals],[Candidate 7]]), 0)</f>
        <v>0</v>
      </c>
      <c r="W356" s="100">
        <f>IF(AND(SamplingData[[#This Row],[Total]]&lt;&gt; 0, NOT(ISBLANK(SamplingData[[#This Row],[Candidate 8]]))),(SamplingData[[#This Row],[Total]]+SamplingData[[#This Row],[Winning Candidate]]-SamplingData[[#This Row],[Candidate 8]])/(SamplingData[[#Totals],[Winning Candidate]]-SamplingData[[#Totals],[Candidate 8]]), 0)</f>
        <v>0</v>
      </c>
      <c r="X3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6" s="100">
        <f>MAX(SamplingData[[#This Row],[Error Bound (up) - Max. possible relative overstatement - Losing Candidate]:[Error Bound (up) - Max. possible relative overstatement - Candidate 12]])</f>
        <v>1.0894107021901106E-2</v>
      </c>
      <c r="AC356" s="100">
        <f>IF(SamplingData[[#This Row],[Max Error Bound (up)]] = 0,0,SamplingData[[#This Row],[Max Error Bound (up)]]/SamplingData[[#Totals],[Max Error Bound (up)]])</f>
        <v>4.4214338041889912E-3</v>
      </c>
      <c r="AD356" s="104">
        <f>SUM($AC$5:AC356)</f>
        <v>0.92471481052356574</v>
      </c>
      <c r="AE356" s="100" t="str" cm="1">
        <f t="array" ref="AE356">IF(SamplingData[[#This Row],[up/U Selection Probability]] = 0, "Zero", TEXT(SamplingData[[#This Row],[Lower Range]], REPT("0",LEN('General Info'!$B$42))) &amp; " - " &amp; TEXT(SamplingData[[#This Row],[Upper Range]], REPT("0",LEN('General Info'!$B$42))))</f>
        <v>92029 - 92470</v>
      </c>
      <c r="AF356" s="100">
        <f>SamplingData[[#This Row],[Upper Range]]-SamplingData[[#This Row],[Span]]</f>
        <v>92029.337671937668</v>
      </c>
      <c r="AG356" s="100">
        <f>IF(ISNUMBER('General Info'!$B$42), ((SamplingData[[#This Row],[up/U Selection Probability]]) * 'General Info'!$B$44) - 1, 0)</f>
        <v>441.14338041889914</v>
      </c>
      <c r="AH356" s="100">
        <f>IF(ISNUMBER('General Info'!$B$42), (SamplingData[[#This Row],[Running (cumulative) sum]] * ('General Info'!$B$42 -'General Info'!$B$43 + 1)) + 'General Info'!$B$43 - 1, 0)</f>
        <v>92470.481052356568</v>
      </c>
      <c r="AI356" s="100" t="str">
        <f>IF(ISERROR(MATCH(SamplingData[[#This Row],[Batch by Type (p)]],SelectedPrecincts[Batch Name], 0)), "", INDEX(SelectedPrecincts[Draw], MATCH(SamplingData[[#This Row],[Batch by Type (p)]],SelectedPrecincts[Batch Name], 0)))</f>
        <v/>
      </c>
      <c r="AJ356" s="101">
        <f>IF(COUNTIF(SelectedPrecincts[Batch Name],SamplingData[[#This Row],[Batch by Type (p)]]) &lt;&gt; 0, COUNTIF(SelectedPrecincts[Batch Name],SamplingData[[#This Row],[Batch by Type (p)]]), 0)</f>
        <v>0</v>
      </c>
    </row>
    <row r="357" spans="1:36" ht="15" customHeight="1" x14ac:dyDescent="0.35">
      <c r="A357" s="98" t="s">
        <v>568</v>
      </c>
      <c r="B357" s="98">
        <v>38</v>
      </c>
      <c r="C357" s="98">
        <v>20</v>
      </c>
      <c r="D357" s="93">
        <v>3</v>
      </c>
      <c r="E357" s="93"/>
      <c r="F357" s="93"/>
      <c r="G357" s="97"/>
      <c r="H357" s="97"/>
      <c r="I357" s="93"/>
      <c r="J357" s="93"/>
      <c r="K357" s="93"/>
      <c r="L357" s="93"/>
      <c r="M357" s="93"/>
      <c r="N357" s="98">
        <v>0</v>
      </c>
      <c r="O357" s="98">
        <v>1</v>
      </c>
      <c r="P357" s="99">
        <f>SUM(SamplingData[[#This Row],[Winning Candidate]:[Under Votes]])</f>
        <v>62</v>
      </c>
      <c r="Q357" s="100">
        <f>IF(AND(SamplingData[[#This Row],[Total]]&lt;&gt; 0, NOT(ISBLANK(SamplingData[[#This Row],[Losing Candidate]]))),(SamplingData[[#This Row],[Total]]+SamplingData[[#This Row],[Winning Candidate]]-SamplingData[[#This Row],[Losing Candidate]])/(SamplingData[[#Totals],[Winning Candidate]]-SamplingData[[#Totals],[Losing Candidate]]), 0)</f>
        <v>5.0565703811389926E-3</v>
      </c>
      <c r="R357" s="100">
        <f>IF(AND(SamplingData[[#This Row],[Total]]&lt;&gt; 0, NOT(ISBLANK(SamplingData[[#This Row],[Candidate 3]]))),(SamplingData[[#This Row],[Total]]+SamplingData[[#This Row],[Winning Candidate]]-SamplingData[[#This Row],[Candidate 3]])/(SamplingData[[#Totals],[Winning Candidate]]-SamplingData[[#Totals],[Candidate 3]]), 0)</f>
        <v>5.4752765861368251E-3</v>
      </c>
      <c r="S357" s="100">
        <f>IF(AND(SamplingData[[#This Row],[Total]]&lt;&gt; 0, NOT(ISBLANK(SamplingData[[#This Row],[Candidate 4]]))),(SamplingData[[#This Row],[Total]]+SamplingData[[#This Row],[Winning Candidate]]-SamplingData[[#This Row],[Candidate 4]])/(SamplingData[[#Totals],[Winning Candidate]]-SamplingData[[#Totals],[Candidate 4]]), 0)</f>
        <v>0</v>
      </c>
      <c r="T357" s="100">
        <f>IF(AND(SamplingData[[#This Row],[Total]]&lt;&gt; 0, NOT(ISBLANK(SamplingData[[#This Row],[Candidate 5]]))),(SamplingData[[#This Row],[Total]]+SamplingData[[#This Row],[Winning Candidate]]-SamplingData[[#This Row],[Candidate 5]])/(SamplingData[[#Totals],[Winning Candidate]]-SamplingData[[#Totals],[Candidate 5]]), 0)</f>
        <v>0</v>
      </c>
      <c r="U357" s="100">
        <f>IF(AND(SamplingData[[#This Row],[Total]]&lt;&gt; 0, NOT(ISBLANK(SamplingData[[#This Row],[Candidate 6]]))),(SamplingData[[#This Row],[Total]]+SamplingData[[#This Row],[Losing Candidate]]-SamplingData[[#This Row],[Candidate 6]])/(SamplingData[[#Totals],[Winning Candidate]]-SamplingData[[#Totals],[Candidate 6]]), 0)</f>
        <v>0</v>
      </c>
      <c r="V357" s="100">
        <f>IF(AND(SamplingData[[#This Row],[Total]]&lt;&gt; 0, NOT(ISBLANK(SamplingData[[#This Row],[Candidate 7]]))),(SamplingData[[#This Row],[Total]]+SamplingData[[#This Row],[Winning Candidate]]-SamplingData[[#This Row],[Candidate 7]])/(SamplingData[[#Totals],[Winning Candidate]]-SamplingData[[#Totals],[Candidate 7]]), 0)</f>
        <v>0</v>
      </c>
      <c r="W357" s="100">
        <f>IF(AND(SamplingData[[#This Row],[Total]]&lt;&gt; 0, NOT(ISBLANK(SamplingData[[#This Row],[Candidate 8]]))),(SamplingData[[#This Row],[Total]]+SamplingData[[#This Row],[Winning Candidate]]-SamplingData[[#This Row],[Candidate 8]])/(SamplingData[[#Totals],[Winning Candidate]]-SamplingData[[#Totals],[Candidate 8]]), 0)</f>
        <v>0</v>
      </c>
      <c r="X3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7" s="100">
        <f>MAX(SamplingData[[#This Row],[Error Bound (up) - Max. possible relative overstatement - Losing Candidate]:[Error Bound (up) - Max. possible relative overstatement - Candidate 12]])</f>
        <v>5.4752765861368251E-3</v>
      </c>
      <c r="AC357" s="100">
        <f>IF(SamplingData[[#This Row],[Max Error Bound (up)]] = 0,0,SamplingData[[#This Row],[Max Error Bound (up)]]/SamplingData[[#Totals],[Max Error Bound (up)]])</f>
        <v>2.2221713938151925E-3</v>
      </c>
      <c r="AD357" s="104">
        <f>SUM($AC$5:AC357)</f>
        <v>0.92693698191738094</v>
      </c>
      <c r="AE357" s="100" t="str" cm="1">
        <f t="array" ref="AE357">IF(SamplingData[[#This Row],[up/U Selection Probability]] = 0, "Zero", TEXT(SamplingData[[#This Row],[Lower Range]], REPT("0",LEN('General Info'!$B$42))) &amp; " - " &amp; TEXT(SamplingData[[#This Row],[Upper Range]], REPT("0",LEN('General Info'!$B$42))))</f>
        <v>92471 - 92693</v>
      </c>
      <c r="AF357" s="100">
        <f>SamplingData[[#This Row],[Upper Range]]-SamplingData[[#This Row],[Span]]</f>
        <v>92471.481052356568</v>
      </c>
      <c r="AG357" s="100">
        <f>IF(ISNUMBER('General Info'!$B$42), ((SamplingData[[#This Row],[up/U Selection Probability]]) * 'General Info'!$B$44) - 1, 0)</f>
        <v>221.21713938151925</v>
      </c>
      <c r="AH357" s="100">
        <f>IF(ISNUMBER('General Info'!$B$42), (SamplingData[[#This Row],[Running (cumulative) sum]] * ('General Info'!$B$42 -'General Info'!$B$43 + 1)) + 'General Info'!$B$43 - 1, 0)</f>
        <v>92692.698191738091</v>
      </c>
      <c r="AI357" s="100" t="str">
        <f>IF(ISERROR(MATCH(SamplingData[[#This Row],[Batch by Type (p)]],SelectedPrecincts[Batch Name], 0)), "", INDEX(SelectedPrecincts[Draw], MATCH(SamplingData[[#This Row],[Batch by Type (p)]],SelectedPrecincts[Batch Name], 0)))</f>
        <v/>
      </c>
      <c r="AJ357" s="101">
        <f>IF(COUNTIF(SelectedPrecincts[Batch Name],SamplingData[[#This Row],[Batch by Type (p)]]) &lt;&gt; 0, COUNTIF(SelectedPrecincts[Batch Name],SamplingData[[#This Row],[Batch by Type (p)]]), 0)</f>
        <v>0</v>
      </c>
    </row>
    <row r="358" spans="1:36" ht="15" customHeight="1" x14ac:dyDescent="0.35">
      <c r="A358" s="98" t="s">
        <v>569</v>
      </c>
      <c r="B358" s="98">
        <v>59</v>
      </c>
      <c r="C358" s="98">
        <v>29</v>
      </c>
      <c r="D358" s="93">
        <v>12</v>
      </c>
      <c r="E358" s="93"/>
      <c r="F358" s="93"/>
      <c r="G358" s="97"/>
      <c r="H358" s="97"/>
      <c r="I358" s="93"/>
      <c r="J358" s="93"/>
      <c r="K358" s="93"/>
      <c r="L358" s="93"/>
      <c r="M358" s="93"/>
      <c r="N358" s="98">
        <v>2</v>
      </c>
      <c r="O358" s="98">
        <v>3</v>
      </c>
      <c r="P358" s="99">
        <f>SUM(SamplingData[[#This Row],[Winning Candidate]:[Under Votes]])</f>
        <v>105</v>
      </c>
      <c r="Q358" s="100">
        <f>IF(AND(SamplingData[[#This Row],[Total]]&lt;&gt; 0, NOT(ISBLANK(SamplingData[[#This Row],[Losing Candidate]]))),(SamplingData[[#This Row],[Total]]+SamplingData[[#This Row],[Winning Candidate]]-SamplingData[[#This Row],[Losing Candidate]])/(SamplingData[[#Totals],[Winning Candidate]]-SamplingData[[#Totals],[Losing Candidate]]), 0)</f>
        <v>8.5329625181720502E-3</v>
      </c>
      <c r="R358" s="100">
        <f>IF(AND(SamplingData[[#This Row],[Total]]&lt;&gt; 0, NOT(ISBLANK(SamplingData[[#This Row],[Candidate 3]]))),(SamplingData[[#This Row],[Total]]+SamplingData[[#This Row],[Winning Candidate]]-SamplingData[[#This Row],[Candidate 3]])/(SamplingData[[#Totals],[Winning Candidate]]-SamplingData[[#Totals],[Candidate 3]]), 0)</f>
        <v>8.579814856626778E-3</v>
      </c>
      <c r="S358" s="100">
        <f>IF(AND(SamplingData[[#This Row],[Total]]&lt;&gt; 0, NOT(ISBLANK(SamplingData[[#This Row],[Candidate 4]]))),(SamplingData[[#This Row],[Total]]+SamplingData[[#This Row],[Winning Candidate]]-SamplingData[[#This Row],[Candidate 4]])/(SamplingData[[#Totals],[Winning Candidate]]-SamplingData[[#Totals],[Candidate 4]]), 0)</f>
        <v>0</v>
      </c>
      <c r="T358" s="100">
        <f>IF(AND(SamplingData[[#This Row],[Total]]&lt;&gt; 0, NOT(ISBLANK(SamplingData[[#This Row],[Candidate 5]]))),(SamplingData[[#This Row],[Total]]+SamplingData[[#This Row],[Winning Candidate]]-SamplingData[[#This Row],[Candidate 5]])/(SamplingData[[#Totals],[Winning Candidate]]-SamplingData[[#Totals],[Candidate 5]]), 0)</f>
        <v>0</v>
      </c>
      <c r="U358" s="100">
        <f>IF(AND(SamplingData[[#This Row],[Total]]&lt;&gt; 0, NOT(ISBLANK(SamplingData[[#This Row],[Candidate 6]]))),(SamplingData[[#This Row],[Total]]+SamplingData[[#This Row],[Losing Candidate]]-SamplingData[[#This Row],[Candidate 6]])/(SamplingData[[#Totals],[Winning Candidate]]-SamplingData[[#Totals],[Candidate 6]]), 0)</f>
        <v>0</v>
      </c>
      <c r="V358" s="100">
        <f>IF(AND(SamplingData[[#This Row],[Total]]&lt;&gt; 0, NOT(ISBLANK(SamplingData[[#This Row],[Candidate 7]]))),(SamplingData[[#This Row],[Total]]+SamplingData[[#This Row],[Winning Candidate]]-SamplingData[[#This Row],[Candidate 7]])/(SamplingData[[#Totals],[Winning Candidate]]-SamplingData[[#Totals],[Candidate 7]]), 0)</f>
        <v>0</v>
      </c>
      <c r="W358" s="100">
        <f>IF(AND(SamplingData[[#This Row],[Total]]&lt;&gt; 0, NOT(ISBLANK(SamplingData[[#This Row],[Candidate 8]]))),(SamplingData[[#This Row],[Total]]+SamplingData[[#This Row],[Winning Candidate]]-SamplingData[[#This Row],[Candidate 8]])/(SamplingData[[#Totals],[Winning Candidate]]-SamplingData[[#Totals],[Candidate 8]]), 0)</f>
        <v>0</v>
      </c>
      <c r="X3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8" s="100">
        <f>MAX(SamplingData[[#This Row],[Error Bound (up) - Max. possible relative overstatement - Losing Candidate]:[Error Bound (up) - Max. possible relative overstatement - Candidate 12]])</f>
        <v>8.579814856626778E-3</v>
      </c>
      <c r="AC358" s="100">
        <f>IF(SamplingData[[#This Row],[Max Error Bound (up)]] = 0,0,SamplingData[[#This Row],[Max Error Bound (up)]]/SamplingData[[#Totals],[Max Error Bound (up)]])</f>
        <v>3.4821654830918479E-3</v>
      </c>
      <c r="AD358" s="104">
        <f>SUM($AC$5:AC358)</f>
        <v>0.93041914740047282</v>
      </c>
      <c r="AE358" s="100" t="str" cm="1">
        <f t="array" ref="AE358">IF(SamplingData[[#This Row],[up/U Selection Probability]] = 0, "Zero", TEXT(SamplingData[[#This Row],[Lower Range]], REPT("0",LEN('General Info'!$B$42))) &amp; " - " &amp; TEXT(SamplingData[[#This Row],[Upper Range]], REPT("0",LEN('General Info'!$B$42))))</f>
        <v>92694 - 93041</v>
      </c>
      <c r="AF358" s="100">
        <f>SamplingData[[#This Row],[Upper Range]]-SamplingData[[#This Row],[Span]]</f>
        <v>92693.698191738105</v>
      </c>
      <c r="AG358" s="100">
        <f>IF(ISNUMBER('General Info'!$B$42), ((SamplingData[[#This Row],[up/U Selection Probability]]) * 'General Info'!$B$44) - 1, 0)</f>
        <v>347.21654830918482</v>
      </c>
      <c r="AH358" s="100">
        <f>IF(ISNUMBER('General Info'!$B$42), (SamplingData[[#This Row],[Running (cumulative) sum]] * ('General Info'!$B$42 -'General Info'!$B$43 + 1)) + 'General Info'!$B$43 - 1, 0)</f>
        <v>93040.914740047287</v>
      </c>
      <c r="AI358" s="100" t="str">
        <f>IF(ISERROR(MATCH(SamplingData[[#This Row],[Batch by Type (p)]],SelectedPrecincts[Batch Name], 0)), "", INDEX(SelectedPrecincts[Draw], MATCH(SamplingData[[#This Row],[Batch by Type (p)]],SelectedPrecincts[Batch Name], 0)))</f>
        <v/>
      </c>
      <c r="AJ358" s="101">
        <f>IF(COUNTIF(SelectedPrecincts[Batch Name],SamplingData[[#This Row],[Batch by Type (p)]]) &lt;&gt; 0, COUNTIF(SelectedPrecincts[Batch Name],SamplingData[[#This Row],[Batch by Type (p)]]), 0)</f>
        <v>0</v>
      </c>
    </row>
    <row r="359" spans="1:36" ht="15" customHeight="1" x14ac:dyDescent="0.35">
      <c r="A359" s="98" t="s">
        <v>570</v>
      </c>
      <c r="B359" s="98">
        <v>50</v>
      </c>
      <c r="C359" s="98">
        <v>21</v>
      </c>
      <c r="D359" s="93">
        <v>7</v>
      </c>
      <c r="E359" s="93"/>
      <c r="F359" s="93"/>
      <c r="G359" s="97"/>
      <c r="H359" s="97"/>
      <c r="I359" s="93"/>
      <c r="J359" s="93"/>
      <c r="K359" s="93"/>
      <c r="L359" s="93"/>
      <c r="M359" s="93"/>
      <c r="N359" s="98">
        <v>0</v>
      </c>
      <c r="O359" s="98">
        <v>0</v>
      </c>
      <c r="P359" s="99">
        <f>SUM(SamplingData[[#This Row],[Winning Candidate]:[Under Votes]])</f>
        <v>78</v>
      </c>
      <c r="Q359" s="100">
        <f>IF(AND(SamplingData[[#This Row],[Total]]&lt;&gt; 0, NOT(ISBLANK(SamplingData[[#This Row],[Losing Candidate]]))),(SamplingData[[#This Row],[Total]]+SamplingData[[#This Row],[Winning Candidate]]-SamplingData[[#This Row],[Losing Candidate]])/(SamplingData[[#Totals],[Winning Candidate]]-SamplingData[[#Totals],[Losing Candidate]]), 0)</f>
        <v>6.7631628847734026E-3</v>
      </c>
      <c r="R359" s="100">
        <f>IF(AND(SamplingData[[#This Row],[Total]]&lt;&gt; 0, NOT(ISBLANK(SamplingData[[#This Row],[Candidate 3]]))),(SamplingData[[#This Row],[Total]]+SamplingData[[#This Row],[Winning Candidate]]-SamplingData[[#This Row],[Candidate 3]])/(SamplingData[[#Totals],[Winning Candidate]]-SamplingData[[#Totals],[Candidate 3]]), 0)</f>
        <v>6.8299841950778956E-3</v>
      </c>
      <c r="S359" s="100">
        <f>IF(AND(SamplingData[[#This Row],[Total]]&lt;&gt; 0, NOT(ISBLANK(SamplingData[[#This Row],[Candidate 4]]))),(SamplingData[[#This Row],[Total]]+SamplingData[[#This Row],[Winning Candidate]]-SamplingData[[#This Row],[Candidate 4]])/(SamplingData[[#Totals],[Winning Candidate]]-SamplingData[[#Totals],[Candidate 4]]), 0)</f>
        <v>0</v>
      </c>
      <c r="T359" s="100">
        <f>IF(AND(SamplingData[[#This Row],[Total]]&lt;&gt; 0, NOT(ISBLANK(SamplingData[[#This Row],[Candidate 5]]))),(SamplingData[[#This Row],[Total]]+SamplingData[[#This Row],[Winning Candidate]]-SamplingData[[#This Row],[Candidate 5]])/(SamplingData[[#Totals],[Winning Candidate]]-SamplingData[[#Totals],[Candidate 5]]), 0)</f>
        <v>0</v>
      </c>
      <c r="U359" s="100">
        <f>IF(AND(SamplingData[[#This Row],[Total]]&lt;&gt; 0, NOT(ISBLANK(SamplingData[[#This Row],[Candidate 6]]))),(SamplingData[[#This Row],[Total]]+SamplingData[[#This Row],[Losing Candidate]]-SamplingData[[#This Row],[Candidate 6]])/(SamplingData[[#Totals],[Winning Candidate]]-SamplingData[[#Totals],[Candidate 6]]), 0)</f>
        <v>0</v>
      </c>
      <c r="V359" s="100">
        <f>IF(AND(SamplingData[[#This Row],[Total]]&lt;&gt; 0, NOT(ISBLANK(SamplingData[[#This Row],[Candidate 7]]))),(SamplingData[[#This Row],[Total]]+SamplingData[[#This Row],[Winning Candidate]]-SamplingData[[#This Row],[Candidate 7]])/(SamplingData[[#Totals],[Winning Candidate]]-SamplingData[[#Totals],[Candidate 7]]), 0)</f>
        <v>0</v>
      </c>
      <c r="W359" s="100">
        <f>IF(AND(SamplingData[[#This Row],[Total]]&lt;&gt; 0, NOT(ISBLANK(SamplingData[[#This Row],[Candidate 8]]))),(SamplingData[[#This Row],[Total]]+SamplingData[[#This Row],[Winning Candidate]]-SamplingData[[#This Row],[Candidate 8]])/(SamplingData[[#Totals],[Winning Candidate]]-SamplingData[[#Totals],[Candidate 8]]), 0)</f>
        <v>0</v>
      </c>
      <c r="X3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9" s="100">
        <f>MAX(SamplingData[[#This Row],[Error Bound (up) - Max. possible relative overstatement - Losing Candidate]:[Error Bound (up) - Max. possible relative overstatement - Candidate 12]])</f>
        <v>6.8299841950778956E-3</v>
      </c>
      <c r="AC359" s="100">
        <f>IF(SamplingData[[#This Row],[Max Error Bound (up)]] = 0,0,SamplingData[[#This Row],[Max Error Bound (up)]]/SamplingData[[#Totals],[Max Error Bound (up)]])</f>
        <v>2.7719869964086424E-3</v>
      </c>
      <c r="AD359" s="104">
        <f>SUM($AC$5:AC359)</f>
        <v>0.93319113439688151</v>
      </c>
      <c r="AE359" s="100" t="str" cm="1">
        <f t="array" ref="AE359">IF(SamplingData[[#This Row],[up/U Selection Probability]] = 0, "Zero", TEXT(SamplingData[[#This Row],[Lower Range]], REPT("0",LEN('General Info'!$B$42))) &amp; " - " &amp; TEXT(SamplingData[[#This Row],[Upper Range]], REPT("0",LEN('General Info'!$B$42))))</f>
        <v>93042 - 93318</v>
      </c>
      <c r="AF359" s="100">
        <f>SamplingData[[#This Row],[Upper Range]]-SamplingData[[#This Row],[Span]]</f>
        <v>93041.914740047287</v>
      </c>
      <c r="AG359" s="100">
        <f>IF(ISNUMBER('General Info'!$B$42), ((SamplingData[[#This Row],[up/U Selection Probability]]) * 'General Info'!$B$44) - 1, 0)</f>
        <v>276.19869964086422</v>
      </c>
      <c r="AH359" s="100">
        <f>IF(ISNUMBER('General Info'!$B$42), (SamplingData[[#This Row],[Running (cumulative) sum]] * ('General Info'!$B$42 -'General Info'!$B$43 + 1)) + 'General Info'!$B$43 - 1, 0)</f>
        <v>93318.113439688153</v>
      </c>
      <c r="AI359" s="100" t="str">
        <f>IF(ISERROR(MATCH(SamplingData[[#This Row],[Batch by Type (p)]],SelectedPrecincts[Batch Name], 0)), "", INDEX(SelectedPrecincts[Draw], MATCH(SamplingData[[#This Row],[Batch by Type (p)]],SelectedPrecincts[Batch Name], 0)))</f>
        <v/>
      </c>
      <c r="AJ359" s="101">
        <f>IF(COUNTIF(SelectedPrecincts[Batch Name],SamplingData[[#This Row],[Batch by Type (p)]]) &lt;&gt; 0, COUNTIF(SelectedPrecincts[Batch Name],SamplingData[[#This Row],[Batch by Type (p)]]), 0)</f>
        <v>0</v>
      </c>
    </row>
    <row r="360" spans="1:36" ht="15" customHeight="1" x14ac:dyDescent="0.35">
      <c r="A360" s="98" t="s">
        <v>571</v>
      </c>
      <c r="B360" s="98">
        <v>23</v>
      </c>
      <c r="C360" s="98">
        <v>14</v>
      </c>
      <c r="D360" s="93">
        <v>4</v>
      </c>
      <c r="E360" s="93"/>
      <c r="F360" s="93"/>
      <c r="G360" s="97"/>
      <c r="H360" s="97"/>
      <c r="I360" s="93"/>
      <c r="J360" s="93"/>
      <c r="K360" s="93"/>
      <c r="L360" s="93"/>
      <c r="M360" s="93"/>
      <c r="N360" s="98">
        <v>0</v>
      </c>
      <c r="O360" s="98">
        <v>0</v>
      </c>
      <c r="P360" s="99">
        <f>SUM(SamplingData[[#This Row],[Winning Candidate]:[Under Votes]])</f>
        <v>41</v>
      </c>
      <c r="Q360" s="100">
        <f>IF(AND(SamplingData[[#This Row],[Total]]&lt;&gt; 0, NOT(ISBLANK(SamplingData[[#This Row],[Losing Candidate]]))),(SamplingData[[#This Row],[Total]]+SamplingData[[#This Row],[Winning Candidate]]-SamplingData[[#This Row],[Losing Candidate]])/(SamplingData[[#Totals],[Winning Candidate]]-SamplingData[[#Totals],[Losing Candidate]]), 0)</f>
        <v>3.1603564882118703E-3</v>
      </c>
      <c r="R360" s="100">
        <f>IF(AND(SamplingData[[#This Row],[Total]]&lt;&gt; 0, NOT(ISBLANK(SamplingData[[#This Row],[Candidate 3]]))),(SamplingData[[#This Row],[Total]]+SamplingData[[#This Row],[Winning Candidate]]-SamplingData[[#This Row],[Candidate 3]])/(SamplingData[[#Totals],[Winning Candidate]]-SamplingData[[#Totals],[Candidate 3]]), 0)</f>
        <v>3.3867690223526757E-3</v>
      </c>
      <c r="S360" s="100">
        <f>IF(AND(SamplingData[[#This Row],[Total]]&lt;&gt; 0, NOT(ISBLANK(SamplingData[[#This Row],[Candidate 4]]))),(SamplingData[[#This Row],[Total]]+SamplingData[[#This Row],[Winning Candidate]]-SamplingData[[#This Row],[Candidate 4]])/(SamplingData[[#Totals],[Winning Candidate]]-SamplingData[[#Totals],[Candidate 4]]), 0)</f>
        <v>0</v>
      </c>
      <c r="T360" s="100">
        <f>IF(AND(SamplingData[[#This Row],[Total]]&lt;&gt; 0, NOT(ISBLANK(SamplingData[[#This Row],[Candidate 5]]))),(SamplingData[[#This Row],[Total]]+SamplingData[[#This Row],[Winning Candidate]]-SamplingData[[#This Row],[Candidate 5]])/(SamplingData[[#Totals],[Winning Candidate]]-SamplingData[[#Totals],[Candidate 5]]), 0)</f>
        <v>0</v>
      </c>
      <c r="U360" s="100">
        <f>IF(AND(SamplingData[[#This Row],[Total]]&lt;&gt; 0, NOT(ISBLANK(SamplingData[[#This Row],[Candidate 6]]))),(SamplingData[[#This Row],[Total]]+SamplingData[[#This Row],[Losing Candidate]]-SamplingData[[#This Row],[Candidate 6]])/(SamplingData[[#Totals],[Winning Candidate]]-SamplingData[[#Totals],[Candidate 6]]), 0)</f>
        <v>0</v>
      </c>
      <c r="V360" s="100">
        <f>IF(AND(SamplingData[[#This Row],[Total]]&lt;&gt; 0, NOT(ISBLANK(SamplingData[[#This Row],[Candidate 7]]))),(SamplingData[[#This Row],[Total]]+SamplingData[[#This Row],[Winning Candidate]]-SamplingData[[#This Row],[Candidate 7]])/(SamplingData[[#Totals],[Winning Candidate]]-SamplingData[[#Totals],[Candidate 7]]), 0)</f>
        <v>0</v>
      </c>
      <c r="W360" s="100">
        <f>IF(AND(SamplingData[[#This Row],[Total]]&lt;&gt; 0, NOT(ISBLANK(SamplingData[[#This Row],[Candidate 8]]))),(SamplingData[[#This Row],[Total]]+SamplingData[[#This Row],[Winning Candidate]]-SamplingData[[#This Row],[Candidate 8]])/(SamplingData[[#Totals],[Winning Candidate]]-SamplingData[[#Totals],[Candidate 8]]), 0)</f>
        <v>0</v>
      </c>
      <c r="X3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0" s="100">
        <f>MAX(SamplingData[[#This Row],[Error Bound (up) - Max. possible relative overstatement - Losing Candidate]:[Error Bound (up) - Max. possible relative overstatement - Candidate 12]])</f>
        <v>3.3867690223526757E-3</v>
      </c>
      <c r="AC360" s="100">
        <f>IF(SamplingData[[#This Row],[Max Error Bound (up)]] = 0,0,SamplingData[[#This Row],[Max Error Bound (up)]]/SamplingData[[#Totals],[Max Error Bound (up)]])</f>
        <v>1.3745390064836243E-3</v>
      </c>
      <c r="AD360" s="104">
        <f>SUM($AC$5:AC360)</f>
        <v>0.93456567340336516</v>
      </c>
      <c r="AE360" s="100" t="str" cm="1">
        <f t="array" ref="AE360">IF(SamplingData[[#This Row],[up/U Selection Probability]] = 0, "Zero", TEXT(SamplingData[[#This Row],[Lower Range]], REPT("0",LEN('General Info'!$B$42))) &amp; " - " &amp; TEXT(SamplingData[[#This Row],[Upper Range]], REPT("0",LEN('General Info'!$B$42))))</f>
        <v>93319 - 93456</v>
      </c>
      <c r="AF360" s="100">
        <f>SamplingData[[#This Row],[Upper Range]]-SamplingData[[#This Row],[Span]]</f>
        <v>93319.113439688153</v>
      </c>
      <c r="AG360" s="100">
        <f>IF(ISNUMBER('General Info'!$B$42), ((SamplingData[[#This Row],[up/U Selection Probability]]) * 'General Info'!$B$44) - 1, 0)</f>
        <v>136.45390064836243</v>
      </c>
      <c r="AH360" s="100">
        <f>IF(ISNUMBER('General Info'!$B$42), (SamplingData[[#This Row],[Running (cumulative) sum]] * ('General Info'!$B$42 -'General Info'!$B$43 + 1)) + 'General Info'!$B$43 - 1, 0)</f>
        <v>93455.567340336522</v>
      </c>
      <c r="AI360" s="100" t="str">
        <f>IF(ISERROR(MATCH(SamplingData[[#This Row],[Batch by Type (p)]],SelectedPrecincts[Batch Name], 0)), "", INDEX(SelectedPrecincts[Draw], MATCH(SamplingData[[#This Row],[Batch by Type (p)]],SelectedPrecincts[Batch Name], 0)))</f>
        <v/>
      </c>
      <c r="AJ360" s="101">
        <f>IF(COUNTIF(SelectedPrecincts[Batch Name],SamplingData[[#This Row],[Batch by Type (p)]]) &lt;&gt; 0, COUNTIF(SelectedPrecincts[Batch Name],SamplingData[[#This Row],[Batch by Type (p)]]), 0)</f>
        <v>0</v>
      </c>
    </row>
    <row r="361" spans="1:36" ht="15" customHeight="1" x14ac:dyDescent="0.35">
      <c r="A361" s="98" t="s">
        <v>572</v>
      </c>
      <c r="B361" s="98">
        <v>65</v>
      </c>
      <c r="C361" s="98">
        <v>30</v>
      </c>
      <c r="D361" s="93">
        <v>5</v>
      </c>
      <c r="E361" s="93"/>
      <c r="F361" s="93"/>
      <c r="G361" s="97"/>
      <c r="H361" s="97"/>
      <c r="I361" s="93"/>
      <c r="J361" s="93"/>
      <c r="K361" s="93"/>
      <c r="L361" s="93"/>
      <c r="M361" s="93"/>
      <c r="N361" s="98">
        <v>1</v>
      </c>
      <c r="O361" s="98">
        <v>0</v>
      </c>
      <c r="P361" s="99">
        <f>SUM(SamplingData[[#This Row],[Winning Candidate]:[Under Votes]])</f>
        <v>101</v>
      </c>
      <c r="Q361" s="100">
        <f>IF(AND(SamplingData[[#This Row],[Total]]&lt;&gt; 0, NOT(ISBLANK(SamplingData[[#This Row],[Losing Candidate]]))),(SamplingData[[#This Row],[Total]]+SamplingData[[#This Row],[Winning Candidate]]-SamplingData[[#This Row],[Losing Candidate]])/(SamplingData[[#Totals],[Winning Candidate]]-SamplingData[[#Totals],[Losing Candidate]]), 0)</f>
        <v>8.5961696479362869E-3</v>
      </c>
      <c r="R361" s="100">
        <f>IF(AND(SamplingData[[#This Row],[Total]]&lt;&gt; 0, NOT(ISBLANK(SamplingData[[#This Row],[Candidate 3]]))),(SamplingData[[#This Row],[Total]]+SamplingData[[#This Row],[Winning Candidate]]-SamplingData[[#This Row],[Candidate 3]])/(SamplingData[[#Totals],[Winning Candidate]]-SamplingData[[#Totals],[Candidate 3]]), 0)</f>
        <v>9.0878302099796793E-3</v>
      </c>
      <c r="S361" s="100">
        <f>IF(AND(SamplingData[[#This Row],[Total]]&lt;&gt; 0, NOT(ISBLANK(SamplingData[[#This Row],[Candidate 4]]))),(SamplingData[[#This Row],[Total]]+SamplingData[[#This Row],[Winning Candidate]]-SamplingData[[#This Row],[Candidate 4]])/(SamplingData[[#Totals],[Winning Candidate]]-SamplingData[[#Totals],[Candidate 4]]), 0)</f>
        <v>0</v>
      </c>
      <c r="T361" s="100">
        <f>IF(AND(SamplingData[[#This Row],[Total]]&lt;&gt; 0, NOT(ISBLANK(SamplingData[[#This Row],[Candidate 5]]))),(SamplingData[[#This Row],[Total]]+SamplingData[[#This Row],[Winning Candidate]]-SamplingData[[#This Row],[Candidate 5]])/(SamplingData[[#Totals],[Winning Candidate]]-SamplingData[[#Totals],[Candidate 5]]), 0)</f>
        <v>0</v>
      </c>
      <c r="U361" s="100">
        <f>IF(AND(SamplingData[[#This Row],[Total]]&lt;&gt; 0, NOT(ISBLANK(SamplingData[[#This Row],[Candidate 6]]))),(SamplingData[[#This Row],[Total]]+SamplingData[[#This Row],[Losing Candidate]]-SamplingData[[#This Row],[Candidate 6]])/(SamplingData[[#Totals],[Winning Candidate]]-SamplingData[[#Totals],[Candidate 6]]), 0)</f>
        <v>0</v>
      </c>
      <c r="V361" s="100">
        <f>IF(AND(SamplingData[[#This Row],[Total]]&lt;&gt; 0, NOT(ISBLANK(SamplingData[[#This Row],[Candidate 7]]))),(SamplingData[[#This Row],[Total]]+SamplingData[[#This Row],[Winning Candidate]]-SamplingData[[#This Row],[Candidate 7]])/(SamplingData[[#Totals],[Winning Candidate]]-SamplingData[[#Totals],[Candidate 7]]), 0)</f>
        <v>0</v>
      </c>
      <c r="W361" s="100">
        <f>IF(AND(SamplingData[[#This Row],[Total]]&lt;&gt; 0, NOT(ISBLANK(SamplingData[[#This Row],[Candidate 8]]))),(SamplingData[[#This Row],[Total]]+SamplingData[[#This Row],[Winning Candidate]]-SamplingData[[#This Row],[Candidate 8]])/(SamplingData[[#Totals],[Winning Candidate]]-SamplingData[[#Totals],[Candidate 8]]), 0)</f>
        <v>0</v>
      </c>
      <c r="X36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1" s="100">
        <f>MAX(SamplingData[[#This Row],[Error Bound (up) - Max. possible relative overstatement - Losing Candidate]:[Error Bound (up) - Max. possible relative overstatement - Candidate 12]])</f>
        <v>9.0878302099796793E-3</v>
      </c>
      <c r="AC361" s="100">
        <f>IF(SamplingData[[#This Row],[Max Error Bound (up)]] = 0,0,SamplingData[[#This Row],[Max Error Bound (up)]]/SamplingData[[#Totals],[Max Error Bound (up)]])</f>
        <v>3.6883463340643919E-3</v>
      </c>
      <c r="AD361" s="104">
        <f>SUM($AC$5:AC361)</f>
        <v>0.9382540197374295</v>
      </c>
      <c r="AE361" s="100" t="str" cm="1">
        <f t="array" ref="AE361">IF(SamplingData[[#This Row],[up/U Selection Probability]] = 0, "Zero", TEXT(SamplingData[[#This Row],[Lower Range]], REPT("0",LEN('General Info'!$B$42))) &amp; " - " &amp; TEXT(SamplingData[[#This Row],[Upper Range]], REPT("0",LEN('General Info'!$B$42))))</f>
        <v>93457 - 93824</v>
      </c>
      <c r="AF361" s="100">
        <f>SamplingData[[#This Row],[Upper Range]]-SamplingData[[#This Row],[Span]]</f>
        <v>93456.567340336507</v>
      </c>
      <c r="AG361" s="100">
        <f>IF(ISNUMBER('General Info'!$B$42), ((SamplingData[[#This Row],[up/U Selection Probability]]) * 'General Info'!$B$44) - 1, 0)</f>
        <v>367.8346334064392</v>
      </c>
      <c r="AH361" s="100">
        <f>IF(ISNUMBER('General Info'!$B$42), (SamplingData[[#This Row],[Running (cumulative) sum]] * ('General Info'!$B$42 -'General Info'!$B$43 + 1)) + 'General Info'!$B$43 - 1, 0)</f>
        <v>93824.401973742948</v>
      </c>
      <c r="AI361" s="100" t="str">
        <f>IF(ISERROR(MATCH(SamplingData[[#This Row],[Batch by Type (p)]],SelectedPrecincts[Batch Name], 0)), "", INDEX(SelectedPrecincts[Draw], MATCH(SamplingData[[#This Row],[Batch by Type (p)]],SelectedPrecincts[Batch Name], 0)))</f>
        <v/>
      </c>
      <c r="AJ361" s="101">
        <f>IF(COUNTIF(SelectedPrecincts[Batch Name],SamplingData[[#This Row],[Batch by Type (p)]]) &lt;&gt; 0, COUNTIF(SelectedPrecincts[Batch Name],SamplingData[[#This Row],[Batch by Type (p)]]), 0)</f>
        <v>0</v>
      </c>
    </row>
    <row r="362" spans="1:36" ht="15" customHeight="1" x14ac:dyDescent="0.35">
      <c r="A362" s="98" t="s">
        <v>573</v>
      </c>
      <c r="B362" s="98">
        <v>53</v>
      </c>
      <c r="C362" s="98">
        <v>44</v>
      </c>
      <c r="D362" s="93">
        <v>13</v>
      </c>
      <c r="E362" s="93"/>
      <c r="F362" s="93"/>
      <c r="G362" s="97"/>
      <c r="H362" s="97"/>
      <c r="I362" s="93"/>
      <c r="J362" s="93"/>
      <c r="K362" s="93"/>
      <c r="L362" s="93"/>
      <c r="M362" s="93"/>
      <c r="N362" s="98">
        <v>1</v>
      </c>
      <c r="O362" s="98">
        <v>0</v>
      </c>
      <c r="P362" s="99">
        <f>SUM(SamplingData[[#This Row],[Winning Candidate]:[Under Votes]])</f>
        <v>111</v>
      </c>
      <c r="Q362" s="100">
        <f>IF(AND(SamplingData[[#This Row],[Total]]&lt;&gt; 0, NOT(ISBLANK(SamplingData[[#This Row],[Losing Candidate]]))),(SamplingData[[#This Row],[Total]]+SamplingData[[#This Row],[Winning Candidate]]-SamplingData[[#This Row],[Losing Candidate]])/(SamplingData[[#Totals],[Winning Candidate]]-SamplingData[[#Totals],[Losing Candidate]]), 0)</f>
        <v>7.5848555717084884E-3</v>
      </c>
      <c r="R362" s="100">
        <f>IF(AND(SamplingData[[#This Row],[Total]]&lt;&gt; 0, NOT(ISBLANK(SamplingData[[#This Row],[Candidate 3]]))),(SamplingData[[#This Row],[Total]]+SamplingData[[#This Row],[Winning Candidate]]-SamplingData[[#This Row],[Candidate 3]])/(SamplingData[[#Totals],[Winning Candidate]]-SamplingData[[#Totals],[Candidate 3]]), 0)</f>
        <v>8.5233687062542338E-3</v>
      </c>
      <c r="S362" s="100">
        <f>IF(AND(SamplingData[[#This Row],[Total]]&lt;&gt; 0, NOT(ISBLANK(SamplingData[[#This Row],[Candidate 4]]))),(SamplingData[[#This Row],[Total]]+SamplingData[[#This Row],[Winning Candidate]]-SamplingData[[#This Row],[Candidate 4]])/(SamplingData[[#Totals],[Winning Candidate]]-SamplingData[[#Totals],[Candidate 4]]), 0)</f>
        <v>0</v>
      </c>
      <c r="T362" s="100">
        <f>IF(AND(SamplingData[[#This Row],[Total]]&lt;&gt; 0, NOT(ISBLANK(SamplingData[[#This Row],[Candidate 5]]))),(SamplingData[[#This Row],[Total]]+SamplingData[[#This Row],[Winning Candidate]]-SamplingData[[#This Row],[Candidate 5]])/(SamplingData[[#Totals],[Winning Candidate]]-SamplingData[[#Totals],[Candidate 5]]), 0)</f>
        <v>0</v>
      </c>
      <c r="U362" s="100">
        <f>IF(AND(SamplingData[[#This Row],[Total]]&lt;&gt; 0, NOT(ISBLANK(SamplingData[[#This Row],[Candidate 6]]))),(SamplingData[[#This Row],[Total]]+SamplingData[[#This Row],[Losing Candidate]]-SamplingData[[#This Row],[Candidate 6]])/(SamplingData[[#Totals],[Winning Candidate]]-SamplingData[[#Totals],[Candidate 6]]), 0)</f>
        <v>0</v>
      </c>
      <c r="V362" s="100">
        <f>IF(AND(SamplingData[[#This Row],[Total]]&lt;&gt; 0, NOT(ISBLANK(SamplingData[[#This Row],[Candidate 7]]))),(SamplingData[[#This Row],[Total]]+SamplingData[[#This Row],[Winning Candidate]]-SamplingData[[#This Row],[Candidate 7]])/(SamplingData[[#Totals],[Winning Candidate]]-SamplingData[[#Totals],[Candidate 7]]), 0)</f>
        <v>0</v>
      </c>
      <c r="W362" s="100">
        <f>IF(AND(SamplingData[[#This Row],[Total]]&lt;&gt; 0, NOT(ISBLANK(SamplingData[[#This Row],[Candidate 8]]))),(SamplingData[[#This Row],[Total]]+SamplingData[[#This Row],[Winning Candidate]]-SamplingData[[#This Row],[Candidate 8]])/(SamplingData[[#Totals],[Winning Candidate]]-SamplingData[[#Totals],[Candidate 8]]), 0)</f>
        <v>0</v>
      </c>
      <c r="X36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2" s="100">
        <f>MAX(SamplingData[[#This Row],[Error Bound (up) - Max. possible relative overstatement - Losing Candidate]:[Error Bound (up) - Max. possible relative overstatement - Candidate 12]])</f>
        <v>8.5233687062542338E-3</v>
      </c>
      <c r="AC362" s="100">
        <f>IF(SamplingData[[#This Row],[Max Error Bound (up)]] = 0,0,SamplingData[[#This Row],[Max Error Bound (up)]]/SamplingData[[#Totals],[Max Error Bound (up)]])</f>
        <v>3.4592564996504547E-3</v>
      </c>
      <c r="AD362" s="104">
        <f>SUM($AC$5:AC362)</f>
        <v>0.94171327623708001</v>
      </c>
      <c r="AE362" s="100" t="str" cm="1">
        <f t="array" ref="AE362">IF(SamplingData[[#This Row],[up/U Selection Probability]] = 0, "Zero", TEXT(SamplingData[[#This Row],[Lower Range]], REPT("0",LEN('General Info'!$B$42))) &amp; " - " &amp; TEXT(SamplingData[[#This Row],[Upper Range]], REPT("0",LEN('General Info'!$B$42))))</f>
        <v>93825 - 94170</v>
      </c>
      <c r="AF362" s="100">
        <f>SamplingData[[#This Row],[Upper Range]]-SamplingData[[#This Row],[Span]]</f>
        <v>93825.401973742948</v>
      </c>
      <c r="AG362" s="100">
        <f>IF(ISNUMBER('General Info'!$B$42), ((SamplingData[[#This Row],[up/U Selection Probability]]) * 'General Info'!$B$44) - 1, 0)</f>
        <v>344.92564996504547</v>
      </c>
      <c r="AH362" s="100">
        <f>IF(ISNUMBER('General Info'!$B$42), (SamplingData[[#This Row],[Running (cumulative) sum]] * ('General Info'!$B$42 -'General Info'!$B$43 + 1)) + 'General Info'!$B$43 - 1, 0)</f>
        <v>94170.327623707999</v>
      </c>
      <c r="AI362" s="100" t="str">
        <f>IF(ISERROR(MATCH(SamplingData[[#This Row],[Batch by Type (p)]],SelectedPrecincts[Batch Name], 0)), "", INDEX(SelectedPrecincts[Draw], MATCH(SamplingData[[#This Row],[Batch by Type (p)]],SelectedPrecincts[Batch Name], 0)))</f>
        <v/>
      </c>
      <c r="AJ362" s="101">
        <f>IF(COUNTIF(SelectedPrecincts[Batch Name],SamplingData[[#This Row],[Batch by Type (p)]]) &lt;&gt; 0, COUNTIF(SelectedPrecincts[Batch Name],SamplingData[[#This Row],[Batch by Type (p)]]), 0)</f>
        <v>0</v>
      </c>
    </row>
    <row r="363" spans="1:36" ht="15" customHeight="1" x14ac:dyDescent="0.35">
      <c r="A363" s="98" t="s">
        <v>574</v>
      </c>
      <c r="B363" s="98">
        <v>34</v>
      </c>
      <c r="C363" s="98">
        <v>4</v>
      </c>
      <c r="D363" s="93">
        <v>2</v>
      </c>
      <c r="E363" s="93"/>
      <c r="F363" s="93"/>
      <c r="G363" s="97"/>
      <c r="H363" s="97"/>
      <c r="I363" s="93"/>
      <c r="J363" s="93"/>
      <c r="K363" s="93"/>
      <c r="L363" s="93"/>
      <c r="M363" s="93"/>
      <c r="N363" s="98">
        <v>0</v>
      </c>
      <c r="O363" s="98">
        <v>0</v>
      </c>
      <c r="P363" s="99">
        <f>SUM(SamplingData[[#This Row],[Winning Candidate]:[Under Votes]])</f>
        <v>40</v>
      </c>
      <c r="Q363" s="100">
        <f>IF(AND(SamplingData[[#This Row],[Total]]&lt;&gt; 0, NOT(ISBLANK(SamplingData[[#This Row],[Losing Candidate]]))),(SamplingData[[#This Row],[Total]]+SamplingData[[#This Row],[Winning Candidate]]-SamplingData[[#This Row],[Losing Candidate]])/(SamplingData[[#Totals],[Winning Candidate]]-SamplingData[[#Totals],[Losing Candidate]]), 0)</f>
        <v>4.4244990834966186E-3</v>
      </c>
      <c r="R363" s="100">
        <f>IF(AND(SamplingData[[#This Row],[Total]]&lt;&gt; 0, NOT(ISBLANK(SamplingData[[#This Row],[Candidate 3]]))),(SamplingData[[#This Row],[Total]]+SamplingData[[#This Row],[Winning Candidate]]-SamplingData[[#This Row],[Candidate 3]])/(SamplingData[[#Totals],[Winning Candidate]]-SamplingData[[#Totals],[Candidate 3]]), 0)</f>
        <v>4.0641228268232105E-3</v>
      </c>
      <c r="S363" s="100">
        <f>IF(AND(SamplingData[[#This Row],[Total]]&lt;&gt; 0, NOT(ISBLANK(SamplingData[[#This Row],[Candidate 4]]))),(SamplingData[[#This Row],[Total]]+SamplingData[[#This Row],[Winning Candidate]]-SamplingData[[#This Row],[Candidate 4]])/(SamplingData[[#Totals],[Winning Candidate]]-SamplingData[[#Totals],[Candidate 4]]), 0)</f>
        <v>0</v>
      </c>
      <c r="T363" s="100">
        <f>IF(AND(SamplingData[[#This Row],[Total]]&lt;&gt; 0, NOT(ISBLANK(SamplingData[[#This Row],[Candidate 5]]))),(SamplingData[[#This Row],[Total]]+SamplingData[[#This Row],[Winning Candidate]]-SamplingData[[#This Row],[Candidate 5]])/(SamplingData[[#Totals],[Winning Candidate]]-SamplingData[[#Totals],[Candidate 5]]), 0)</f>
        <v>0</v>
      </c>
      <c r="U363" s="100">
        <f>IF(AND(SamplingData[[#This Row],[Total]]&lt;&gt; 0, NOT(ISBLANK(SamplingData[[#This Row],[Candidate 6]]))),(SamplingData[[#This Row],[Total]]+SamplingData[[#This Row],[Losing Candidate]]-SamplingData[[#This Row],[Candidate 6]])/(SamplingData[[#Totals],[Winning Candidate]]-SamplingData[[#Totals],[Candidate 6]]), 0)</f>
        <v>0</v>
      </c>
      <c r="V363" s="100">
        <f>IF(AND(SamplingData[[#This Row],[Total]]&lt;&gt; 0, NOT(ISBLANK(SamplingData[[#This Row],[Candidate 7]]))),(SamplingData[[#This Row],[Total]]+SamplingData[[#This Row],[Winning Candidate]]-SamplingData[[#This Row],[Candidate 7]])/(SamplingData[[#Totals],[Winning Candidate]]-SamplingData[[#Totals],[Candidate 7]]), 0)</f>
        <v>0</v>
      </c>
      <c r="W363" s="100">
        <f>IF(AND(SamplingData[[#This Row],[Total]]&lt;&gt; 0, NOT(ISBLANK(SamplingData[[#This Row],[Candidate 8]]))),(SamplingData[[#This Row],[Total]]+SamplingData[[#This Row],[Winning Candidate]]-SamplingData[[#This Row],[Candidate 8]])/(SamplingData[[#Totals],[Winning Candidate]]-SamplingData[[#Totals],[Candidate 8]]), 0)</f>
        <v>0</v>
      </c>
      <c r="X36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3" s="100">
        <f>MAX(SamplingData[[#This Row],[Error Bound (up) - Max. possible relative overstatement - Losing Candidate]:[Error Bound (up) - Max. possible relative overstatement - Candidate 12]])</f>
        <v>4.4244990834966186E-3</v>
      </c>
      <c r="AC363" s="100">
        <f>IF(SamplingData[[#This Row],[Max Error Bound (up)]] = 0,0,SamplingData[[#This Row],[Max Error Bound (up)]]/SamplingData[[#Totals],[Max Error Bound (up)]])</f>
        <v>1.7957075118729033E-3</v>
      </c>
      <c r="AD363" s="104">
        <f>SUM($AC$5:AC363)</f>
        <v>0.94350898374895287</v>
      </c>
      <c r="AE363" s="100" t="str" cm="1">
        <f t="array" ref="AE363">IF(SamplingData[[#This Row],[up/U Selection Probability]] = 0, "Zero", TEXT(SamplingData[[#This Row],[Lower Range]], REPT("0",LEN('General Info'!$B$42))) &amp; " - " &amp; TEXT(SamplingData[[#This Row],[Upper Range]], REPT("0",LEN('General Info'!$B$42))))</f>
        <v>94171 - 94350</v>
      </c>
      <c r="AF363" s="100">
        <f>SamplingData[[#This Row],[Upper Range]]-SamplingData[[#This Row],[Span]]</f>
        <v>94171.327623707999</v>
      </c>
      <c r="AG363" s="100">
        <f>IF(ISNUMBER('General Info'!$B$42), ((SamplingData[[#This Row],[up/U Selection Probability]]) * 'General Info'!$B$44) - 1, 0)</f>
        <v>178.57075118729034</v>
      </c>
      <c r="AH363" s="100">
        <f>IF(ISNUMBER('General Info'!$B$42), (SamplingData[[#This Row],[Running (cumulative) sum]] * ('General Info'!$B$42 -'General Info'!$B$43 + 1)) + 'General Info'!$B$43 - 1, 0)</f>
        <v>94349.898374895289</v>
      </c>
      <c r="AI363" s="100" t="str">
        <f>IF(ISERROR(MATCH(SamplingData[[#This Row],[Batch by Type (p)]],SelectedPrecincts[Batch Name], 0)), "", INDEX(SelectedPrecincts[Draw], MATCH(SamplingData[[#This Row],[Batch by Type (p)]],SelectedPrecincts[Batch Name], 0)))</f>
        <v/>
      </c>
      <c r="AJ363" s="101">
        <f>IF(COUNTIF(SelectedPrecincts[Batch Name],SamplingData[[#This Row],[Batch by Type (p)]]) &lt;&gt; 0, COUNTIF(SelectedPrecincts[Batch Name],SamplingData[[#This Row],[Batch by Type (p)]]), 0)</f>
        <v>0</v>
      </c>
    </row>
    <row r="364" spans="1:36" ht="15" customHeight="1" x14ac:dyDescent="0.35">
      <c r="A364" s="98" t="s">
        <v>575</v>
      </c>
      <c r="B364" s="98">
        <v>59</v>
      </c>
      <c r="C364" s="98">
        <v>16</v>
      </c>
      <c r="D364" s="93">
        <v>1</v>
      </c>
      <c r="E364" s="93"/>
      <c r="F364" s="93"/>
      <c r="G364" s="97"/>
      <c r="H364" s="97"/>
      <c r="I364" s="93"/>
      <c r="J364" s="93"/>
      <c r="K364" s="93"/>
      <c r="L364" s="93"/>
      <c r="M364" s="93"/>
      <c r="N364" s="98">
        <v>0</v>
      </c>
      <c r="O364" s="98">
        <v>2</v>
      </c>
      <c r="P364" s="99">
        <f>SUM(SamplingData[[#This Row],[Winning Candidate]:[Under Votes]])</f>
        <v>78</v>
      </c>
      <c r="Q364" s="100">
        <f>IF(AND(SamplingData[[#This Row],[Total]]&lt;&gt; 0, NOT(ISBLANK(SamplingData[[#This Row],[Losing Candidate]]))),(SamplingData[[#This Row],[Total]]+SamplingData[[#This Row],[Winning Candidate]]-SamplingData[[#This Row],[Losing Candidate]])/(SamplingData[[#Totals],[Winning Candidate]]-SamplingData[[#Totals],[Losing Candidate]]), 0)</f>
        <v>7.648062701472726E-3</v>
      </c>
      <c r="R364" s="100">
        <f>IF(AND(SamplingData[[#This Row],[Total]]&lt;&gt; 0, NOT(ISBLANK(SamplingData[[#This Row],[Candidate 3]]))),(SamplingData[[#This Row],[Total]]+SamplingData[[#This Row],[Winning Candidate]]-SamplingData[[#This Row],[Candidate 3]])/(SamplingData[[#Totals],[Winning Candidate]]-SamplingData[[#Totals],[Candidate 3]]), 0)</f>
        <v>7.6766764506660647E-3</v>
      </c>
      <c r="S364" s="100">
        <f>IF(AND(SamplingData[[#This Row],[Total]]&lt;&gt; 0, NOT(ISBLANK(SamplingData[[#This Row],[Candidate 4]]))),(SamplingData[[#This Row],[Total]]+SamplingData[[#This Row],[Winning Candidate]]-SamplingData[[#This Row],[Candidate 4]])/(SamplingData[[#Totals],[Winning Candidate]]-SamplingData[[#Totals],[Candidate 4]]), 0)</f>
        <v>0</v>
      </c>
      <c r="T364" s="100">
        <f>IF(AND(SamplingData[[#This Row],[Total]]&lt;&gt; 0, NOT(ISBLANK(SamplingData[[#This Row],[Candidate 5]]))),(SamplingData[[#This Row],[Total]]+SamplingData[[#This Row],[Winning Candidate]]-SamplingData[[#This Row],[Candidate 5]])/(SamplingData[[#Totals],[Winning Candidate]]-SamplingData[[#Totals],[Candidate 5]]), 0)</f>
        <v>0</v>
      </c>
      <c r="U364" s="100">
        <f>IF(AND(SamplingData[[#This Row],[Total]]&lt;&gt; 0, NOT(ISBLANK(SamplingData[[#This Row],[Candidate 6]]))),(SamplingData[[#This Row],[Total]]+SamplingData[[#This Row],[Losing Candidate]]-SamplingData[[#This Row],[Candidate 6]])/(SamplingData[[#Totals],[Winning Candidate]]-SamplingData[[#Totals],[Candidate 6]]), 0)</f>
        <v>0</v>
      </c>
      <c r="V364" s="100">
        <f>IF(AND(SamplingData[[#This Row],[Total]]&lt;&gt; 0, NOT(ISBLANK(SamplingData[[#This Row],[Candidate 7]]))),(SamplingData[[#This Row],[Total]]+SamplingData[[#This Row],[Winning Candidate]]-SamplingData[[#This Row],[Candidate 7]])/(SamplingData[[#Totals],[Winning Candidate]]-SamplingData[[#Totals],[Candidate 7]]), 0)</f>
        <v>0</v>
      </c>
      <c r="W364" s="100">
        <f>IF(AND(SamplingData[[#This Row],[Total]]&lt;&gt; 0, NOT(ISBLANK(SamplingData[[#This Row],[Candidate 8]]))),(SamplingData[[#This Row],[Total]]+SamplingData[[#This Row],[Winning Candidate]]-SamplingData[[#This Row],[Candidate 8]])/(SamplingData[[#Totals],[Winning Candidate]]-SamplingData[[#Totals],[Candidate 8]]), 0)</f>
        <v>0</v>
      </c>
      <c r="X36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4" s="100">
        <f>MAX(SamplingData[[#This Row],[Error Bound (up) - Max. possible relative overstatement - Losing Candidate]:[Error Bound (up) - Max. possible relative overstatement - Candidate 12]])</f>
        <v>7.6766764506660647E-3</v>
      </c>
      <c r="AC364" s="100">
        <f>IF(SamplingData[[#This Row],[Max Error Bound (up)]] = 0,0,SamplingData[[#This Row],[Max Error Bound (up)]]/SamplingData[[#Totals],[Max Error Bound (up)]])</f>
        <v>3.1156217480295483E-3</v>
      </c>
      <c r="AD364" s="104">
        <f>SUM($AC$5:AC364)</f>
        <v>0.94662460549698246</v>
      </c>
      <c r="AE364" s="100" t="str" cm="1">
        <f t="array" ref="AE364">IF(SamplingData[[#This Row],[up/U Selection Probability]] = 0, "Zero", TEXT(SamplingData[[#This Row],[Lower Range]], REPT("0",LEN('General Info'!$B$42))) &amp; " - " &amp; TEXT(SamplingData[[#This Row],[Upper Range]], REPT("0",LEN('General Info'!$B$42))))</f>
        <v>94351 - 94661</v>
      </c>
      <c r="AF364" s="100">
        <f>SamplingData[[#This Row],[Upper Range]]-SamplingData[[#This Row],[Span]]</f>
        <v>94350.898374895289</v>
      </c>
      <c r="AG364" s="100">
        <f>IF(ISNUMBER('General Info'!$B$42), ((SamplingData[[#This Row],[up/U Selection Probability]]) * 'General Info'!$B$44) - 1, 0)</f>
        <v>310.56217480295481</v>
      </c>
      <c r="AH364" s="100">
        <f>IF(ISNUMBER('General Info'!$B$42), (SamplingData[[#This Row],[Running (cumulative) sum]] * ('General Info'!$B$42 -'General Info'!$B$43 + 1)) + 'General Info'!$B$43 - 1, 0)</f>
        <v>94661.46054969824</v>
      </c>
      <c r="AI364" s="100" t="str">
        <f>IF(ISERROR(MATCH(SamplingData[[#This Row],[Batch by Type (p)]],SelectedPrecincts[Batch Name], 0)), "", INDEX(SelectedPrecincts[Draw], MATCH(SamplingData[[#This Row],[Batch by Type (p)]],SelectedPrecincts[Batch Name], 0)))</f>
        <v/>
      </c>
      <c r="AJ364" s="101">
        <f>IF(COUNTIF(SelectedPrecincts[Batch Name],SamplingData[[#This Row],[Batch by Type (p)]]) &lt;&gt; 0, COUNTIF(SelectedPrecincts[Batch Name],SamplingData[[#This Row],[Batch by Type (p)]]), 0)</f>
        <v>0</v>
      </c>
    </row>
    <row r="365" spans="1:36" ht="15" customHeight="1" x14ac:dyDescent="0.35">
      <c r="A365" s="98" t="s">
        <v>576</v>
      </c>
      <c r="B365" s="98">
        <v>9</v>
      </c>
      <c r="C365" s="98">
        <v>2</v>
      </c>
      <c r="D365" s="93">
        <v>0</v>
      </c>
      <c r="E365" s="93"/>
      <c r="F365" s="93"/>
      <c r="G365" s="97"/>
      <c r="H365" s="97"/>
      <c r="I365" s="93"/>
      <c r="J365" s="93"/>
      <c r="K365" s="93"/>
      <c r="L365" s="93"/>
      <c r="M365" s="93"/>
      <c r="N365" s="98">
        <v>0</v>
      </c>
      <c r="O365" s="98">
        <v>0</v>
      </c>
      <c r="P365" s="99">
        <f>SUM(SamplingData[[#This Row],[Winning Candidate]:[Under Votes]])</f>
        <v>11</v>
      </c>
      <c r="Q365" s="100">
        <f>IF(AND(SamplingData[[#This Row],[Total]]&lt;&gt; 0, NOT(ISBLANK(SamplingData[[#This Row],[Losing Candidate]]))),(SamplingData[[#This Row],[Total]]+SamplingData[[#This Row],[Winning Candidate]]-SamplingData[[#This Row],[Losing Candidate]])/(SamplingData[[#Totals],[Winning Candidate]]-SamplingData[[#Totals],[Losing Candidate]]), 0)</f>
        <v>1.1377283357562732E-3</v>
      </c>
      <c r="R365" s="100">
        <f>IF(AND(SamplingData[[#This Row],[Total]]&lt;&gt; 0, NOT(ISBLANK(SamplingData[[#This Row],[Candidate 3]]))),(SamplingData[[#This Row],[Total]]+SamplingData[[#This Row],[Winning Candidate]]-SamplingData[[#This Row],[Candidate 3]])/(SamplingData[[#Totals],[Winning Candidate]]-SamplingData[[#Totals],[Candidate 3]]), 0)</f>
        <v>1.1289230074508919E-3</v>
      </c>
      <c r="S365" s="100">
        <f>IF(AND(SamplingData[[#This Row],[Total]]&lt;&gt; 0, NOT(ISBLANK(SamplingData[[#This Row],[Candidate 4]]))),(SamplingData[[#This Row],[Total]]+SamplingData[[#This Row],[Winning Candidate]]-SamplingData[[#This Row],[Candidate 4]])/(SamplingData[[#Totals],[Winning Candidate]]-SamplingData[[#Totals],[Candidate 4]]), 0)</f>
        <v>0</v>
      </c>
      <c r="T365" s="100">
        <f>IF(AND(SamplingData[[#This Row],[Total]]&lt;&gt; 0, NOT(ISBLANK(SamplingData[[#This Row],[Candidate 5]]))),(SamplingData[[#This Row],[Total]]+SamplingData[[#This Row],[Winning Candidate]]-SamplingData[[#This Row],[Candidate 5]])/(SamplingData[[#Totals],[Winning Candidate]]-SamplingData[[#Totals],[Candidate 5]]), 0)</f>
        <v>0</v>
      </c>
      <c r="U365" s="100">
        <f>IF(AND(SamplingData[[#This Row],[Total]]&lt;&gt; 0, NOT(ISBLANK(SamplingData[[#This Row],[Candidate 6]]))),(SamplingData[[#This Row],[Total]]+SamplingData[[#This Row],[Losing Candidate]]-SamplingData[[#This Row],[Candidate 6]])/(SamplingData[[#Totals],[Winning Candidate]]-SamplingData[[#Totals],[Candidate 6]]), 0)</f>
        <v>0</v>
      </c>
      <c r="V365" s="100">
        <f>IF(AND(SamplingData[[#This Row],[Total]]&lt;&gt; 0, NOT(ISBLANK(SamplingData[[#This Row],[Candidate 7]]))),(SamplingData[[#This Row],[Total]]+SamplingData[[#This Row],[Winning Candidate]]-SamplingData[[#This Row],[Candidate 7]])/(SamplingData[[#Totals],[Winning Candidate]]-SamplingData[[#Totals],[Candidate 7]]), 0)</f>
        <v>0</v>
      </c>
      <c r="W365" s="100">
        <f>IF(AND(SamplingData[[#This Row],[Total]]&lt;&gt; 0, NOT(ISBLANK(SamplingData[[#This Row],[Candidate 8]]))),(SamplingData[[#This Row],[Total]]+SamplingData[[#This Row],[Winning Candidate]]-SamplingData[[#This Row],[Candidate 8]])/(SamplingData[[#Totals],[Winning Candidate]]-SamplingData[[#Totals],[Candidate 8]]), 0)</f>
        <v>0</v>
      </c>
      <c r="X36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5" s="100">
        <f>MAX(SamplingData[[#This Row],[Error Bound (up) - Max. possible relative overstatement - Losing Candidate]:[Error Bound (up) - Max. possible relative overstatement - Candidate 12]])</f>
        <v>1.1377283357562732E-3</v>
      </c>
      <c r="AC365" s="100">
        <f>IF(SamplingData[[#This Row],[Max Error Bound (up)]] = 0,0,SamplingData[[#This Row],[Max Error Bound (up)]]/SamplingData[[#Totals],[Max Error Bound (up)]])</f>
        <v>4.6175336019588936E-4</v>
      </c>
      <c r="AD365" s="104">
        <f>SUM($AC$5:AC365)</f>
        <v>0.9470863588571784</v>
      </c>
      <c r="AE365" s="100" t="str" cm="1">
        <f t="array" ref="AE365">IF(SamplingData[[#This Row],[up/U Selection Probability]] = 0, "Zero", TEXT(SamplingData[[#This Row],[Lower Range]], REPT("0",LEN('General Info'!$B$42))) &amp; " - " &amp; TEXT(SamplingData[[#This Row],[Upper Range]], REPT("0",LEN('General Info'!$B$42))))</f>
        <v>94662 - 94708</v>
      </c>
      <c r="AF365" s="100">
        <f>SamplingData[[#This Row],[Upper Range]]-SamplingData[[#This Row],[Span]]</f>
        <v>94662.460549698255</v>
      </c>
      <c r="AG365" s="100">
        <f>IF(ISNUMBER('General Info'!$B$42), ((SamplingData[[#This Row],[up/U Selection Probability]]) * 'General Info'!$B$44) - 1, 0)</f>
        <v>45.175336019588933</v>
      </c>
      <c r="AH365" s="100">
        <f>IF(ISNUMBER('General Info'!$B$42), (SamplingData[[#This Row],[Running (cumulative) sum]] * ('General Info'!$B$42 -'General Info'!$B$43 + 1)) + 'General Info'!$B$43 - 1, 0)</f>
        <v>94707.635885717842</v>
      </c>
      <c r="AI365" s="100" t="str">
        <f>IF(ISERROR(MATCH(SamplingData[[#This Row],[Batch by Type (p)]],SelectedPrecincts[Batch Name], 0)), "", INDEX(SelectedPrecincts[Draw], MATCH(SamplingData[[#This Row],[Batch by Type (p)]],SelectedPrecincts[Batch Name], 0)))</f>
        <v/>
      </c>
      <c r="AJ365" s="101">
        <f>IF(COUNTIF(SelectedPrecincts[Batch Name],SamplingData[[#This Row],[Batch by Type (p)]]) &lt;&gt; 0, COUNTIF(SelectedPrecincts[Batch Name],SamplingData[[#This Row],[Batch by Type (p)]]), 0)</f>
        <v>0</v>
      </c>
    </row>
    <row r="366" spans="1:36" ht="15" customHeight="1" x14ac:dyDescent="0.35">
      <c r="A366" s="98" t="s">
        <v>577</v>
      </c>
      <c r="B366" s="98">
        <v>114</v>
      </c>
      <c r="C366" s="98">
        <v>40</v>
      </c>
      <c r="D366" s="93">
        <v>19</v>
      </c>
      <c r="E366" s="93"/>
      <c r="F366" s="93"/>
      <c r="G366" s="97"/>
      <c r="H366" s="97"/>
      <c r="I366" s="93"/>
      <c r="J366" s="93"/>
      <c r="K366" s="93"/>
      <c r="L366" s="93"/>
      <c r="M366" s="93"/>
      <c r="N366" s="98">
        <v>0</v>
      </c>
      <c r="O366" s="98">
        <v>1</v>
      </c>
      <c r="P366" s="99">
        <f>SUM(SamplingData[[#This Row],[Winning Candidate]:[Under Votes]])</f>
        <v>174</v>
      </c>
      <c r="Q366" s="100">
        <f>IF(AND(SamplingData[[#This Row],[Total]]&lt;&gt; 0, NOT(ISBLANK(SamplingData[[#This Row],[Losing Candidate]]))),(SamplingData[[#This Row],[Total]]+SamplingData[[#This Row],[Winning Candidate]]-SamplingData[[#This Row],[Losing Candidate]])/(SamplingData[[#Totals],[Winning Candidate]]-SamplingData[[#Totals],[Losing Candidate]]), 0)</f>
        <v>1.5675368181530876E-2</v>
      </c>
      <c r="R366" s="100">
        <f>IF(AND(SamplingData[[#This Row],[Total]]&lt;&gt; 0, NOT(ISBLANK(SamplingData[[#This Row],[Candidate 3]]))),(SamplingData[[#This Row],[Total]]+SamplingData[[#This Row],[Winning Candidate]]-SamplingData[[#This Row],[Candidate 3]])/(SamplingData[[#Totals],[Winning Candidate]]-SamplingData[[#Totals],[Candidate 3]]), 0)</f>
        <v>1.5184014450214495E-2</v>
      </c>
      <c r="S366" s="100">
        <f>IF(AND(SamplingData[[#This Row],[Total]]&lt;&gt; 0, NOT(ISBLANK(SamplingData[[#This Row],[Candidate 4]]))),(SamplingData[[#This Row],[Total]]+SamplingData[[#This Row],[Winning Candidate]]-SamplingData[[#This Row],[Candidate 4]])/(SamplingData[[#Totals],[Winning Candidate]]-SamplingData[[#Totals],[Candidate 4]]), 0)</f>
        <v>0</v>
      </c>
      <c r="T366" s="100">
        <f>IF(AND(SamplingData[[#This Row],[Total]]&lt;&gt; 0, NOT(ISBLANK(SamplingData[[#This Row],[Candidate 5]]))),(SamplingData[[#This Row],[Total]]+SamplingData[[#This Row],[Winning Candidate]]-SamplingData[[#This Row],[Candidate 5]])/(SamplingData[[#Totals],[Winning Candidate]]-SamplingData[[#Totals],[Candidate 5]]), 0)</f>
        <v>0</v>
      </c>
      <c r="U366" s="100">
        <f>IF(AND(SamplingData[[#This Row],[Total]]&lt;&gt; 0, NOT(ISBLANK(SamplingData[[#This Row],[Candidate 6]]))),(SamplingData[[#This Row],[Total]]+SamplingData[[#This Row],[Losing Candidate]]-SamplingData[[#This Row],[Candidate 6]])/(SamplingData[[#Totals],[Winning Candidate]]-SamplingData[[#Totals],[Candidate 6]]), 0)</f>
        <v>0</v>
      </c>
      <c r="V366" s="100">
        <f>IF(AND(SamplingData[[#This Row],[Total]]&lt;&gt; 0, NOT(ISBLANK(SamplingData[[#This Row],[Candidate 7]]))),(SamplingData[[#This Row],[Total]]+SamplingData[[#This Row],[Winning Candidate]]-SamplingData[[#This Row],[Candidate 7]])/(SamplingData[[#Totals],[Winning Candidate]]-SamplingData[[#Totals],[Candidate 7]]), 0)</f>
        <v>0</v>
      </c>
      <c r="W366" s="100">
        <f>IF(AND(SamplingData[[#This Row],[Total]]&lt;&gt; 0, NOT(ISBLANK(SamplingData[[#This Row],[Candidate 8]]))),(SamplingData[[#This Row],[Total]]+SamplingData[[#This Row],[Winning Candidate]]-SamplingData[[#This Row],[Candidate 8]])/(SamplingData[[#Totals],[Winning Candidate]]-SamplingData[[#Totals],[Candidate 8]]), 0)</f>
        <v>0</v>
      </c>
      <c r="X36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6" s="100">
        <f>MAX(SamplingData[[#This Row],[Error Bound (up) - Max. possible relative overstatement - Losing Candidate]:[Error Bound (up) - Max. possible relative overstatement - Candidate 12]])</f>
        <v>1.5675368181530876E-2</v>
      </c>
      <c r="AC366" s="100">
        <f>IF(SamplingData[[#This Row],[Max Error Bound (up)]] = 0,0,SamplingData[[#This Row],[Max Error Bound (up)]]/SamplingData[[#Totals],[Max Error Bound (up)]])</f>
        <v>6.3619351849211426E-3</v>
      </c>
      <c r="AD366" s="104">
        <f>SUM($AC$5:AC366)</f>
        <v>0.95344829404209952</v>
      </c>
      <c r="AE366" s="100" t="str" cm="1">
        <f t="array" ref="AE366">IF(SamplingData[[#This Row],[up/U Selection Probability]] = 0, "Zero", TEXT(SamplingData[[#This Row],[Lower Range]], REPT("0",LEN('General Info'!$B$42))) &amp; " - " &amp; TEXT(SamplingData[[#This Row],[Upper Range]], REPT("0",LEN('General Info'!$B$42))))</f>
        <v>94709 - 95344</v>
      </c>
      <c r="AF366" s="100">
        <f>SamplingData[[#This Row],[Upper Range]]-SamplingData[[#This Row],[Span]]</f>
        <v>94708.635885717842</v>
      </c>
      <c r="AG366" s="100">
        <f>IF(ISNUMBER('General Info'!$B$42), ((SamplingData[[#This Row],[up/U Selection Probability]]) * 'General Info'!$B$44) - 1, 0)</f>
        <v>635.19351849211421</v>
      </c>
      <c r="AH366" s="100">
        <f>IF(ISNUMBER('General Info'!$B$42), (SamplingData[[#This Row],[Running (cumulative) sum]] * ('General Info'!$B$42 -'General Info'!$B$43 + 1)) + 'General Info'!$B$43 - 1, 0)</f>
        <v>95343.829404209959</v>
      </c>
      <c r="AI366" s="100" t="str">
        <f>IF(ISERROR(MATCH(SamplingData[[#This Row],[Batch by Type (p)]],SelectedPrecincts[Batch Name], 0)), "", INDEX(SelectedPrecincts[Draw], MATCH(SamplingData[[#This Row],[Batch by Type (p)]],SelectedPrecincts[Batch Name], 0)))</f>
        <v/>
      </c>
      <c r="AJ366" s="101">
        <f>IF(COUNTIF(SelectedPrecincts[Batch Name],SamplingData[[#This Row],[Batch by Type (p)]]) &lt;&gt; 0, COUNTIF(SelectedPrecincts[Batch Name],SamplingData[[#This Row],[Batch by Type (p)]]), 0)</f>
        <v>0</v>
      </c>
    </row>
    <row r="367" spans="1:36" ht="15" customHeight="1" x14ac:dyDescent="0.35">
      <c r="A367" s="98" t="s">
        <v>578</v>
      </c>
      <c r="B367" s="98">
        <v>73</v>
      </c>
      <c r="C367" s="98">
        <v>8</v>
      </c>
      <c r="D367" s="93">
        <v>1</v>
      </c>
      <c r="E367" s="93"/>
      <c r="F367" s="93"/>
      <c r="G367" s="97"/>
      <c r="H367" s="97"/>
      <c r="I367" s="93"/>
      <c r="J367" s="93"/>
      <c r="K367" s="93"/>
      <c r="L367" s="93"/>
      <c r="M367" s="93"/>
      <c r="N367" s="98">
        <v>0</v>
      </c>
      <c r="O367" s="98">
        <v>0</v>
      </c>
      <c r="P367" s="99">
        <f>SUM(SamplingData[[#This Row],[Winning Candidate]:[Under Votes]])</f>
        <v>82</v>
      </c>
      <c r="Q367" s="100">
        <f>IF(AND(SamplingData[[#This Row],[Total]]&lt;&gt; 0, NOT(ISBLANK(SamplingData[[#This Row],[Losing Candidate]]))),(SamplingData[[#This Row],[Total]]+SamplingData[[#This Row],[Winning Candidate]]-SamplingData[[#This Row],[Losing Candidate]])/(SamplingData[[#Totals],[Winning Candidate]]-SamplingData[[#Totals],[Losing Candidate]]), 0)</f>
        <v>9.2914480753428993E-3</v>
      </c>
      <c r="R367" s="100">
        <f>IF(AND(SamplingData[[#This Row],[Total]]&lt;&gt; 0, NOT(ISBLANK(SamplingData[[#This Row],[Candidate 3]]))),(SamplingData[[#This Row],[Total]]+SamplingData[[#This Row],[Winning Candidate]]-SamplingData[[#This Row],[Candidate 3]])/(SamplingData[[#Totals],[Winning Candidate]]-SamplingData[[#Totals],[Candidate 3]]), 0)</f>
        <v>8.6927071573718664E-3</v>
      </c>
      <c r="S367" s="100">
        <f>IF(AND(SamplingData[[#This Row],[Total]]&lt;&gt; 0, NOT(ISBLANK(SamplingData[[#This Row],[Candidate 4]]))),(SamplingData[[#This Row],[Total]]+SamplingData[[#This Row],[Winning Candidate]]-SamplingData[[#This Row],[Candidate 4]])/(SamplingData[[#Totals],[Winning Candidate]]-SamplingData[[#Totals],[Candidate 4]]), 0)</f>
        <v>0</v>
      </c>
      <c r="T367" s="100">
        <f>IF(AND(SamplingData[[#This Row],[Total]]&lt;&gt; 0, NOT(ISBLANK(SamplingData[[#This Row],[Candidate 5]]))),(SamplingData[[#This Row],[Total]]+SamplingData[[#This Row],[Winning Candidate]]-SamplingData[[#This Row],[Candidate 5]])/(SamplingData[[#Totals],[Winning Candidate]]-SamplingData[[#Totals],[Candidate 5]]), 0)</f>
        <v>0</v>
      </c>
      <c r="U367" s="100">
        <f>IF(AND(SamplingData[[#This Row],[Total]]&lt;&gt; 0, NOT(ISBLANK(SamplingData[[#This Row],[Candidate 6]]))),(SamplingData[[#This Row],[Total]]+SamplingData[[#This Row],[Losing Candidate]]-SamplingData[[#This Row],[Candidate 6]])/(SamplingData[[#Totals],[Winning Candidate]]-SamplingData[[#Totals],[Candidate 6]]), 0)</f>
        <v>0</v>
      </c>
      <c r="V367" s="100">
        <f>IF(AND(SamplingData[[#This Row],[Total]]&lt;&gt; 0, NOT(ISBLANK(SamplingData[[#This Row],[Candidate 7]]))),(SamplingData[[#This Row],[Total]]+SamplingData[[#This Row],[Winning Candidate]]-SamplingData[[#This Row],[Candidate 7]])/(SamplingData[[#Totals],[Winning Candidate]]-SamplingData[[#Totals],[Candidate 7]]), 0)</f>
        <v>0</v>
      </c>
      <c r="W367" s="100">
        <f>IF(AND(SamplingData[[#This Row],[Total]]&lt;&gt; 0, NOT(ISBLANK(SamplingData[[#This Row],[Candidate 8]]))),(SamplingData[[#This Row],[Total]]+SamplingData[[#This Row],[Winning Candidate]]-SamplingData[[#This Row],[Candidate 8]])/(SamplingData[[#Totals],[Winning Candidate]]-SamplingData[[#Totals],[Candidate 8]]), 0)</f>
        <v>0</v>
      </c>
      <c r="X36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7" s="100">
        <f>MAX(SamplingData[[#This Row],[Error Bound (up) - Max. possible relative overstatement - Losing Candidate]:[Error Bound (up) - Max. possible relative overstatement - Candidate 12]])</f>
        <v>9.2914480753428993E-3</v>
      </c>
      <c r="AC367" s="100">
        <f>IF(SamplingData[[#This Row],[Max Error Bound (up)]] = 0,0,SamplingData[[#This Row],[Max Error Bound (up)]]/SamplingData[[#Totals],[Max Error Bound (up)]])</f>
        <v>3.770985774933097E-3</v>
      </c>
      <c r="AD367" s="104">
        <f>SUM($AC$5:AC367)</f>
        <v>0.95721927981703259</v>
      </c>
      <c r="AE367" s="100" t="str" cm="1">
        <f t="array" ref="AE367">IF(SamplingData[[#This Row],[up/U Selection Probability]] = 0, "Zero", TEXT(SamplingData[[#This Row],[Lower Range]], REPT("0",LEN('General Info'!$B$42))) &amp; " - " &amp; TEXT(SamplingData[[#This Row],[Upper Range]], REPT("0",LEN('General Info'!$B$42))))</f>
        <v>95345 - 95721</v>
      </c>
      <c r="AF367" s="100">
        <f>SamplingData[[#This Row],[Upper Range]]-SamplingData[[#This Row],[Span]]</f>
        <v>95344.829404209959</v>
      </c>
      <c r="AG367" s="100">
        <f>IF(ISNUMBER('General Info'!$B$42), ((SamplingData[[#This Row],[up/U Selection Probability]]) * 'General Info'!$B$44) - 1, 0)</f>
        <v>376.09857749330968</v>
      </c>
      <c r="AH367" s="100">
        <f>IF(ISNUMBER('General Info'!$B$42), (SamplingData[[#This Row],[Running (cumulative) sum]] * ('General Info'!$B$42 -'General Info'!$B$43 + 1)) + 'General Info'!$B$43 - 1, 0)</f>
        <v>95720.927981703266</v>
      </c>
      <c r="AI367" s="100" t="str">
        <f>IF(ISERROR(MATCH(SamplingData[[#This Row],[Batch by Type (p)]],SelectedPrecincts[Batch Name], 0)), "", INDEX(SelectedPrecincts[Draw], MATCH(SamplingData[[#This Row],[Batch by Type (p)]],SelectedPrecincts[Batch Name], 0)))</f>
        <v/>
      </c>
      <c r="AJ367" s="101">
        <f>IF(COUNTIF(SelectedPrecincts[Batch Name],SamplingData[[#This Row],[Batch by Type (p)]]) &lt;&gt; 0, COUNTIF(SelectedPrecincts[Batch Name],SamplingData[[#This Row],[Batch by Type (p)]]), 0)</f>
        <v>0</v>
      </c>
    </row>
    <row r="368" spans="1:36" ht="15" customHeight="1" x14ac:dyDescent="0.35">
      <c r="A368" s="98" t="s">
        <v>579</v>
      </c>
      <c r="B368" s="98">
        <v>40</v>
      </c>
      <c r="C368" s="98">
        <v>12</v>
      </c>
      <c r="D368" s="93">
        <v>2</v>
      </c>
      <c r="E368" s="93"/>
      <c r="F368" s="93"/>
      <c r="G368" s="97"/>
      <c r="H368" s="97"/>
      <c r="I368" s="93"/>
      <c r="J368" s="93"/>
      <c r="K368" s="93"/>
      <c r="L368" s="93"/>
      <c r="M368" s="93"/>
      <c r="N368" s="98">
        <v>0</v>
      </c>
      <c r="O368" s="98">
        <v>0</v>
      </c>
      <c r="P368" s="99">
        <f>SUM(SamplingData[[#This Row],[Winning Candidate]:[Under Votes]])</f>
        <v>54</v>
      </c>
      <c r="Q368" s="100">
        <f>IF(AND(SamplingData[[#This Row],[Total]]&lt;&gt; 0, NOT(ISBLANK(SamplingData[[#This Row],[Losing Candidate]]))),(SamplingData[[#This Row],[Total]]+SamplingData[[#This Row],[Winning Candidate]]-SamplingData[[#This Row],[Losing Candidate]])/(SamplingData[[#Totals],[Winning Candidate]]-SamplingData[[#Totals],[Losing Candidate]]), 0)</f>
        <v>5.1829846406674677E-3</v>
      </c>
      <c r="R368" s="100">
        <f>IF(AND(SamplingData[[#This Row],[Total]]&lt;&gt; 0, NOT(ISBLANK(SamplingData[[#This Row],[Candidate 3]]))),(SamplingData[[#This Row],[Total]]+SamplingData[[#This Row],[Winning Candidate]]-SamplingData[[#This Row],[Candidate 3]])/(SamplingData[[#Totals],[Winning Candidate]]-SamplingData[[#Totals],[Candidate 3]]), 0)</f>
        <v>5.1930458342741024E-3</v>
      </c>
      <c r="S368" s="100">
        <f>IF(AND(SamplingData[[#This Row],[Total]]&lt;&gt; 0, NOT(ISBLANK(SamplingData[[#This Row],[Candidate 4]]))),(SamplingData[[#This Row],[Total]]+SamplingData[[#This Row],[Winning Candidate]]-SamplingData[[#This Row],[Candidate 4]])/(SamplingData[[#Totals],[Winning Candidate]]-SamplingData[[#Totals],[Candidate 4]]), 0)</f>
        <v>0</v>
      </c>
      <c r="T368" s="100">
        <f>IF(AND(SamplingData[[#This Row],[Total]]&lt;&gt; 0, NOT(ISBLANK(SamplingData[[#This Row],[Candidate 5]]))),(SamplingData[[#This Row],[Total]]+SamplingData[[#This Row],[Winning Candidate]]-SamplingData[[#This Row],[Candidate 5]])/(SamplingData[[#Totals],[Winning Candidate]]-SamplingData[[#Totals],[Candidate 5]]), 0)</f>
        <v>0</v>
      </c>
      <c r="U368" s="100">
        <f>IF(AND(SamplingData[[#This Row],[Total]]&lt;&gt; 0, NOT(ISBLANK(SamplingData[[#This Row],[Candidate 6]]))),(SamplingData[[#This Row],[Total]]+SamplingData[[#This Row],[Losing Candidate]]-SamplingData[[#This Row],[Candidate 6]])/(SamplingData[[#Totals],[Winning Candidate]]-SamplingData[[#Totals],[Candidate 6]]), 0)</f>
        <v>0</v>
      </c>
      <c r="V368" s="100">
        <f>IF(AND(SamplingData[[#This Row],[Total]]&lt;&gt; 0, NOT(ISBLANK(SamplingData[[#This Row],[Candidate 7]]))),(SamplingData[[#This Row],[Total]]+SamplingData[[#This Row],[Winning Candidate]]-SamplingData[[#This Row],[Candidate 7]])/(SamplingData[[#Totals],[Winning Candidate]]-SamplingData[[#Totals],[Candidate 7]]), 0)</f>
        <v>0</v>
      </c>
      <c r="W368" s="100">
        <f>IF(AND(SamplingData[[#This Row],[Total]]&lt;&gt; 0, NOT(ISBLANK(SamplingData[[#This Row],[Candidate 8]]))),(SamplingData[[#This Row],[Total]]+SamplingData[[#This Row],[Winning Candidate]]-SamplingData[[#This Row],[Candidate 8]])/(SamplingData[[#Totals],[Winning Candidate]]-SamplingData[[#Totals],[Candidate 8]]), 0)</f>
        <v>0</v>
      </c>
      <c r="X36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8" s="100">
        <f>MAX(SamplingData[[#This Row],[Error Bound (up) - Max. possible relative overstatement - Losing Candidate]:[Error Bound (up) - Max. possible relative overstatement - Candidate 12]])</f>
        <v>5.1930458342741024E-3</v>
      </c>
      <c r="AC368" s="100">
        <f>IF(SamplingData[[#This Row],[Max Error Bound (up)]] = 0,0,SamplingData[[#This Row],[Max Error Bound (up)]]/SamplingData[[#Totals],[Max Error Bound (up)]])</f>
        <v>2.1076264766082238E-3</v>
      </c>
      <c r="AD368" s="104">
        <f>SUM($AC$5:AC368)</f>
        <v>0.95932690629364081</v>
      </c>
      <c r="AE368" s="100" t="str" cm="1">
        <f t="array" ref="AE368">IF(SamplingData[[#This Row],[up/U Selection Probability]] = 0, "Zero", TEXT(SamplingData[[#This Row],[Lower Range]], REPT("0",LEN('General Info'!$B$42))) &amp; " - " &amp; TEXT(SamplingData[[#This Row],[Upper Range]], REPT("0",LEN('General Info'!$B$42))))</f>
        <v>95722 - 95932</v>
      </c>
      <c r="AF368" s="100">
        <f>SamplingData[[#This Row],[Upper Range]]-SamplingData[[#This Row],[Span]]</f>
        <v>95721.927981703251</v>
      </c>
      <c r="AG368" s="100">
        <f>IF(ISNUMBER('General Info'!$B$42), ((SamplingData[[#This Row],[up/U Selection Probability]]) * 'General Info'!$B$44) - 1, 0)</f>
        <v>209.76264766082238</v>
      </c>
      <c r="AH368" s="100">
        <f>IF(ISNUMBER('General Info'!$B$42), (SamplingData[[#This Row],[Running (cumulative) sum]] * ('General Info'!$B$42 -'General Info'!$B$43 + 1)) + 'General Info'!$B$43 - 1, 0)</f>
        <v>95931.690629364079</v>
      </c>
      <c r="AI368" s="100" t="str">
        <f>IF(ISERROR(MATCH(SamplingData[[#This Row],[Batch by Type (p)]],SelectedPrecincts[Batch Name], 0)), "", INDEX(SelectedPrecincts[Draw], MATCH(SamplingData[[#This Row],[Batch by Type (p)]],SelectedPrecincts[Batch Name], 0)))</f>
        <v/>
      </c>
      <c r="AJ368" s="101">
        <f>IF(COUNTIF(SelectedPrecincts[Batch Name],SamplingData[[#This Row],[Batch by Type (p)]]) &lt;&gt; 0, COUNTIF(SelectedPrecincts[Batch Name],SamplingData[[#This Row],[Batch by Type (p)]]), 0)</f>
        <v>0</v>
      </c>
    </row>
    <row r="369" spans="1:36" ht="15" customHeight="1" x14ac:dyDescent="0.35">
      <c r="A369" s="98" t="s">
        <v>580</v>
      </c>
      <c r="B369" s="98">
        <v>21</v>
      </c>
      <c r="C369" s="98">
        <v>6</v>
      </c>
      <c r="D369" s="93">
        <v>1</v>
      </c>
      <c r="E369" s="93"/>
      <c r="F369" s="93"/>
      <c r="G369" s="97"/>
      <c r="H369" s="97"/>
      <c r="I369" s="93"/>
      <c r="J369" s="93"/>
      <c r="K369" s="93"/>
      <c r="L369" s="93"/>
      <c r="M369" s="93"/>
      <c r="N369" s="98">
        <v>0</v>
      </c>
      <c r="O369" s="98">
        <v>0</v>
      </c>
      <c r="P369" s="99">
        <f>SUM(SamplingData[[#This Row],[Winning Candidate]:[Under Votes]])</f>
        <v>28</v>
      </c>
      <c r="Q369" s="100">
        <f>IF(AND(SamplingData[[#This Row],[Total]]&lt;&gt; 0, NOT(ISBLANK(SamplingData[[#This Row],[Losing Candidate]]))),(SamplingData[[#This Row],[Total]]+SamplingData[[#This Row],[Winning Candidate]]-SamplingData[[#This Row],[Losing Candidate]])/(SamplingData[[#Totals],[Winning Candidate]]-SamplingData[[#Totals],[Losing Candidate]]), 0)</f>
        <v>2.7179065798622086E-3</v>
      </c>
      <c r="R369" s="100">
        <f>IF(AND(SamplingData[[#This Row],[Total]]&lt;&gt; 0, NOT(ISBLANK(SamplingData[[#This Row],[Candidate 3]]))),(SamplingData[[#This Row],[Total]]+SamplingData[[#This Row],[Winning Candidate]]-SamplingData[[#This Row],[Candidate 3]])/(SamplingData[[#Totals],[Winning Candidate]]-SamplingData[[#Totals],[Candidate 3]]), 0)</f>
        <v>2.7094152178821405E-3</v>
      </c>
      <c r="S369" s="100">
        <f>IF(AND(SamplingData[[#This Row],[Total]]&lt;&gt; 0, NOT(ISBLANK(SamplingData[[#This Row],[Candidate 4]]))),(SamplingData[[#This Row],[Total]]+SamplingData[[#This Row],[Winning Candidate]]-SamplingData[[#This Row],[Candidate 4]])/(SamplingData[[#Totals],[Winning Candidate]]-SamplingData[[#Totals],[Candidate 4]]), 0)</f>
        <v>0</v>
      </c>
      <c r="T369" s="100">
        <f>IF(AND(SamplingData[[#This Row],[Total]]&lt;&gt; 0, NOT(ISBLANK(SamplingData[[#This Row],[Candidate 5]]))),(SamplingData[[#This Row],[Total]]+SamplingData[[#This Row],[Winning Candidate]]-SamplingData[[#This Row],[Candidate 5]])/(SamplingData[[#Totals],[Winning Candidate]]-SamplingData[[#Totals],[Candidate 5]]), 0)</f>
        <v>0</v>
      </c>
      <c r="U369" s="100">
        <f>IF(AND(SamplingData[[#This Row],[Total]]&lt;&gt; 0, NOT(ISBLANK(SamplingData[[#This Row],[Candidate 6]]))),(SamplingData[[#This Row],[Total]]+SamplingData[[#This Row],[Losing Candidate]]-SamplingData[[#This Row],[Candidate 6]])/(SamplingData[[#Totals],[Winning Candidate]]-SamplingData[[#Totals],[Candidate 6]]), 0)</f>
        <v>0</v>
      </c>
      <c r="V369" s="100">
        <f>IF(AND(SamplingData[[#This Row],[Total]]&lt;&gt; 0, NOT(ISBLANK(SamplingData[[#This Row],[Candidate 7]]))),(SamplingData[[#This Row],[Total]]+SamplingData[[#This Row],[Winning Candidate]]-SamplingData[[#This Row],[Candidate 7]])/(SamplingData[[#Totals],[Winning Candidate]]-SamplingData[[#Totals],[Candidate 7]]), 0)</f>
        <v>0</v>
      </c>
      <c r="W369" s="100">
        <f>IF(AND(SamplingData[[#This Row],[Total]]&lt;&gt; 0, NOT(ISBLANK(SamplingData[[#This Row],[Candidate 8]]))),(SamplingData[[#This Row],[Total]]+SamplingData[[#This Row],[Winning Candidate]]-SamplingData[[#This Row],[Candidate 8]])/(SamplingData[[#Totals],[Winning Candidate]]-SamplingData[[#Totals],[Candidate 8]]), 0)</f>
        <v>0</v>
      </c>
      <c r="X36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9" s="100">
        <f>MAX(SamplingData[[#This Row],[Error Bound (up) - Max. possible relative overstatement - Losing Candidate]:[Error Bound (up) - Max. possible relative overstatement - Candidate 12]])</f>
        <v>2.7179065798622086E-3</v>
      </c>
      <c r="AC369" s="100">
        <f>IF(SamplingData[[#This Row],[Max Error Bound (up)]] = 0,0,SamplingData[[#This Row],[Max Error Bound (up)]]/SamplingData[[#Totals],[Max Error Bound (up)]])</f>
        <v>1.1030774715790692E-3</v>
      </c>
      <c r="AD369" s="104">
        <f>SUM($AC$5:AC369)</f>
        <v>0.96042998376521993</v>
      </c>
      <c r="AE369" s="100" t="str" cm="1">
        <f t="array" ref="AE369">IF(SamplingData[[#This Row],[up/U Selection Probability]] = 0, "Zero", TEXT(SamplingData[[#This Row],[Lower Range]], REPT("0",LEN('General Info'!$B$42))) &amp; " - " &amp; TEXT(SamplingData[[#This Row],[Upper Range]], REPT("0",LEN('General Info'!$B$42))))</f>
        <v>95933 - 96042</v>
      </c>
      <c r="AF369" s="100">
        <f>SamplingData[[#This Row],[Upper Range]]-SamplingData[[#This Row],[Span]]</f>
        <v>95932.690629364093</v>
      </c>
      <c r="AG369" s="100">
        <f>IF(ISNUMBER('General Info'!$B$42), ((SamplingData[[#This Row],[up/U Selection Probability]]) * 'General Info'!$B$44) - 1, 0)</f>
        <v>109.30774715790693</v>
      </c>
      <c r="AH369" s="100">
        <f>IF(ISNUMBER('General Info'!$B$42), (SamplingData[[#This Row],[Running (cumulative) sum]] * ('General Info'!$B$42 -'General Info'!$B$43 + 1)) + 'General Info'!$B$43 - 1, 0)</f>
        <v>96041.998376521995</v>
      </c>
      <c r="AI369" s="100" t="str">
        <f>IF(ISERROR(MATCH(SamplingData[[#This Row],[Batch by Type (p)]],SelectedPrecincts[Batch Name], 0)), "", INDEX(SelectedPrecincts[Draw], MATCH(SamplingData[[#This Row],[Batch by Type (p)]],SelectedPrecincts[Batch Name], 0)))</f>
        <v/>
      </c>
      <c r="AJ369" s="101">
        <f>IF(COUNTIF(SelectedPrecincts[Batch Name],SamplingData[[#This Row],[Batch by Type (p)]]) &lt;&gt; 0, COUNTIF(SelectedPrecincts[Batch Name],SamplingData[[#This Row],[Batch by Type (p)]]), 0)</f>
        <v>0</v>
      </c>
    </row>
    <row r="370" spans="1:36" ht="15" customHeight="1" x14ac:dyDescent="0.35">
      <c r="A370" s="98" t="s">
        <v>581</v>
      </c>
      <c r="B370" s="98">
        <v>39</v>
      </c>
      <c r="C370" s="98">
        <v>3</v>
      </c>
      <c r="D370" s="93">
        <v>0</v>
      </c>
      <c r="E370" s="93"/>
      <c r="F370" s="93"/>
      <c r="G370" s="97"/>
      <c r="H370" s="97"/>
      <c r="I370" s="93"/>
      <c r="J370" s="93"/>
      <c r="K370" s="93"/>
      <c r="L370" s="93"/>
      <c r="M370" s="93"/>
      <c r="N370" s="98">
        <v>0</v>
      </c>
      <c r="O370" s="98">
        <v>0</v>
      </c>
      <c r="P370" s="99">
        <f>SUM(SamplingData[[#This Row],[Winning Candidate]:[Under Votes]])</f>
        <v>42</v>
      </c>
      <c r="Q370" s="100">
        <f>IF(AND(SamplingData[[#This Row],[Total]]&lt;&gt; 0, NOT(ISBLANK(SamplingData[[#This Row],[Losing Candidate]]))),(SamplingData[[#This Row],[Total]]+SamplingData[[#This Row],[Winning Candidate]]-SamplingData[[#This Row],[Losing Candidate]])/(SamplingData[[#Totals],[Winning Candidate]]-SamplingData[[#Totals],[Losing Candidate]]), 0)</f>
        <v>4.9301561216105174E-3</v>
      </c>
      <c r="R370" s="100">
        <f>IF(AND(SamplingData[[#This Row],[Total]]&lt;&gt; 0, NOT(ISBLANK(SamplingData[[#This Row],[Candidate 3]]))),(SamplingData[[#This Row],[Total]]+SamplingData[[#This Row],[Winning Candidate]]-SamplingData[[#This Row],[Candidate 3]])/(SamplingData[[#Totals],[Winning Candidate]]-SamplingData[[#Totals],[Candidate 3]]), 0)</f>
        <v>4.5721381801761118E-3</v>
      </c>
      <c r="S370" s="100">
        <f>IF(AND(SamplingData[[#This Row],[Total]]&lt;&gt; 0, NOT(ISBLANK(SamplingData[[#This Row],[Candidate 4]]))),(SamplingData[[#This Row],[Total]]+SamplingData[[#This Row],[Winning Candidate]]-SamplingData[[#This Row],[Candidate 4]])/(SamplingData[[#Totals],[Winning Candidate]]-SamplingData[[#Totals],[Candidate 4]]), 0)</f>
        <v>0</v>
      </c>
      <c r="T370" s="100">
        <f>IF(AND(SamplingData[[#This Row],[Total]]&lt;&gt; 0, NOT(ISBLANK(SamplingData[[#This Row],[Candidate 5]]))),(SamplingData[[#This Row],[Total]]+SamplingData[[#This Row],[Winning Candidate]]-SamplingData[[#This Row],[Candidate 5]])/(SamplingData[[#Totals],[Winning Candidate]]-SamplingData[[#Totals],[Candidate 5]]), 0)</f>
        <v>0</v>
      </c>
      <c r="U370" s="100">
        <f>IF(AND(SamplingData[[#This Row],[Total]]&lt;&gt; 0, NOT(ISBLANK(SamplingData[[#This Row],[Candidate 6]]))),(SamplingData[[#This Row],[Total]]+SamplingData[[#This Row],[Losing Candidate]]-SamplingData[[#This Row],[Candidate 6]])/(SamplingData[[#Totals],[Winning Candidate]]-SamplingData[[#Totals],[Candidate 6]]), 0)</f>
        <v>0</v>
      </c>
      <c r="V370" s="100">
        <f>IF(AND(SamplingData[[#This Row],[Total]]&lt;&gt; 0, NOT(ISBLANK(SamplingData[[#This Row],[Candidate 7]]))),(SamplingData[[#This Row],[Total]]+SamplingData[[#This Row],[Winning Candidate]]-SamplingData[[#This Row],[Candidate 7]])/(SamplingData[[#Totals],[Winning Candidate]]-SamplingData[[#Totals],[Candidate 7]]), 0)</f>
        <v>0</v>
      </c>
      <c r="W370" s="100">
        <f>IF(AND(SamplingData[[#This Row],[Total]]&lt;&gt; 0, NOT(ISBLANK(SamplingData[[#This Row],[Candidate 8]]))),(SamplingData[[#This Row],[Total]]+SamplingData[[#This Row],[Winning Candidate]]-SamplingData[[#This Row],[Candidate 8]])/(SamplingData[[#Totals],[Winning Candidate]]-SamplingData[[#Totals],[Candidate 8]]), 0)</f>
        <v>0</v>
      </c>
      <c r="X37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0" s="100">
        <f>MAX(SamplingData[[#This Row],[Error Bound (up) - Max. possible relative overstatement - Losing Candidate]:[Error Bound (up) - Max. possible relative overstatement - Candidate 12]])</f>
        <v>4.9301561216105174E-3</v>
      </c>
      <c r="AC370" s="100">
        <f>IF(SamplingData[[#This Row],[Max Error Bound (up)]] = 0,0,SamplingData[[#This Row],[Max Error Bound (up)]]/SamplingData[[#Totals],[Max Error Bound (up)]])</f>
        <v>2.0009312275155208E-3</v>
      </c>
      <c r="AD370" s="104">
        <f>SUM($AC$5:AC370)</f>
        <v>0.96243091499273548</v>
      </c>
      <c r="AE370" s="100" t="str" cm="1">
        <f t="array" ref="AE370">IF(SamplingData[[#This Row],[up/U Selection Probability]] = 0, "Zero", TEXT(SamplingData[[#This Row],[Lower Range]], REPT("0",LEN('General Info'!$B$42))) &amp; " - " &amp; TEXT(SamplingData[[#This Row],[Upper Range]], REPT("0",LEN('General Info'!$B$42))))</f>
        <v>96043 - 96242</v>
      </c>
      <c r="AF370" s="100">
        <f>SamplingData[[#This Row],[Upper Range]]-SamplingData[[#This Row],[Span]]</f>
        <v>96042.998376521995</v>
      </c>
      <c r="AG370" s="100">
        <f>IF(ISNUMBER('General Info'!$B$42), ((SamplingData[[#This Row],[up/U Selection Probability]]) * 'General Info'!$B$44) - 1, 0)</f>
        <v>199.09312275155207</v>
      </c>
      <c r="AH370" s="100">
        <f>IF(ISNUMBER('General Info'!$B$42), (SamplingData[[#This Row],[Running (cumulative) sum]] * ('General Info'!$B$42 -'General Info'!$B$43 + 1)) + 'General Info'!$B$43 - 1, 0)</f>
        <v>96242.091499273549</v>
      </c>
      <c r="AI370" s="100" t="str">
        <f>IF(ISERROR(MATCH(SamplingData[[#This Row],[Batch by Type (p)]],SelectedPrecincts[Batch Name], 0)), "", INDEX(SelectedPrecincts[Draw], MATCH(SamplingData[[#This Row],[Batch by Type (p)]],SelectedPrecincts[Batch Name], 0)))</f>
        <v/>
      </c>
      <c r="AJ370" s="101">
        <f>IF(COUNTIF(SelectedPrecincts[Batch Name],SamplingData[[#This Row],[Batch by Type (p)]]) &lt;&gt; 0, COUNTIF(SelectedPrecincts[Batch Name],SamplingData[[#This Row],[Batch by Type (p)]]), 0)</f>
        <v>0</v>
      </c>
    </row>
    <row r="371" spans="1:36" ht="15" customHeight="1" x14ac:dyDescent="0.35">
      <c r="A371" s="98" t="s">
        <v>582</v>
      </c>
      <c r="B371" s="98">
        <v>26</v>
      </c>
      <c r="C371" s="98">
        <v>3</v>
      </c>
      <c r="D371" s="93">
        <v>0</v>
      </c>
      <c r="E371" s="93"/>
      <c r="F371" s="93"/>
      <c r="G371" s="97"/>
      <c r="H371" s="97"/>
      <c r="I371" s="93"/>
      <c r="J371" s="93"/>
      <c r="K371" s="93"/>
      <c r="L371" s="93"/>
      <c r="M371" s="93"/>
      <c r="N371" s="98">
        <v>0</v>
      </c>
      <c r="O371" s="98">
        <v>0</v>
      </c>
      <c r="P371" s="99">
        <f>SUM(SamplingData[[#This Row],[Winning Candidate]:[Under Votes]])</f>
        <v>29</v>
      </c>
      <c r="Q371" s="100">
        <f>IF(AND(SamplingData[[#This Row],[Total]]&lt;&gt; 0, NOT(ISBLANK(SamplingData[[#This Row],[Losing Candidate]]))),(SamplingData[[#This Row],[Total]]+SamplingData[[#This Row],[Winning Candidate]]-SamplingData[[#This Row],[Losing Candidate]])/(SamplingData[[#Totals],[Winning Candidate]]-SamplingData[[#Totals],[Losing Candidate]]), 0)</f>
        <v>3.286770747740345E-3</v>
      </c>
      <c r="R371" s="100">
        <f>IF(AND(SamplingData[[#This Row],[Total]]&lt;&gt; 0, NOT(ISBLANK(SamplingData[[#This Row],[Candidate 3]]))),(SamplingData[[#This Row],[Total]]+SamplingData[[#This Row],[Winning Candidate]]-SamplingData[[#This Row],[Candidate 3]])/(SamplingData[[#Totals],[Winning Candidate]]-SamplingData[[#Totals],[Candidate 3]]), 0)</f>
        <v>3.1045382704899525E-3</v>
      </c>
      <c r="S371" s="100">
        <f>IF(AND(SamplingData[[#This Row],[Total]]&lt;&gt; 0, NOT(ISBLANK(SamplingData[[#This Row],[Candidate 4]]))),(SamplingData[[#This Row],[Total]]+SamplingData[[#This Row],[Winning Candidate]]-SamplingData[[#This Row],[Candidate 4]])/(SamplingData[[#Totals],[Winning Candidate]]-SamplingData[[#Totals],[Candidate 4]]), 0)</f>
        <v>0</v>
      </c>
      <c r="T371" s="100">
        <f>IF(AND(SamplingData[[#This Row],[Total]]&lt;&gt; 0, NOT(ISBLANK(SamplingData[[#This Row],[Candidate 5]]))),(SamplingData[[#This Row],[Total]]+SamplingData[[#This Row],[Winning Candidate]]-SamplingData[[#This Row],[Candidate 5]])/(SamplingData[[#Totals],[Winning Candidate]]-SamplingData[[#Totals],[Candidate 5]]), 0)</f>
        <v>0</v>
      </c>
      <c r="U371" s="100">
        <f>IF(AND(SamplingData[[#This Row],[Total]]&lt;&gt; 0, NOT(ISBLANK(SamplingData[[#This Row],[Candidate 6]]))),(SamplingData[[#This Row],[Total]]+SamplingData[[#This Row],[Losing Candidate]]-SamplingData[[#This Row],[Candidate 6]])/(SamplingData[[#Totals],[Winning Candidate]]-SamplingData[[#Totals],[Candidate 6]]), 0)</f>
        <v>0</v>
      </c>
      <c r="V371" s="100">
        <f>IF(AND(SamplingData[[#This Row],[Total]]&lt;&gt; 0, NOT(ISBLANK(SamplingData[[#This Row],[Candidate 7]]))),(SamplingData[[#This Row],[Total]]+SamplingData[[#This Row],[Winning Candidate]]-SamplingData[[#This Row],[Candidate 7]])/(SamplingData[[#Totals],[Winning Candidate]]-SamplingData[[#Totals],[Candidate 7]]), 0)</f>
        <v>0</v>
      </c>
      <c r="W371" s="100">
        <f>IF(AND(SamplingData[[#This Row],[Total]]&lt;&gt; 0, NOT(ISBLANK(SamplingData[[#This Row],[Candidate 8]]))),(SamplingData[[#This Row],[Total]]+SamplingData[[#This Row],[Winning Candidate]]-SamplingData[[#This Row],[Candidate 8]])/(SamplingData[[#Totals],[Winning Candidate]]-SamplingData[[#Totals],[Candidate 8]]), 0)</f>
        <v>0</v>
      </c>
      <c r="X37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1" s="100">
        <f>MAX(SamplingData[[#This Row],[Error Bound (up) - Max. possible relative overstatement - Losing Candidate]:[Error Bound (up) - Max. possible relative overstatement - Candidate 12]])</f>
        <v>3.286770747740345E-3</v>
      </c>
      <c r="AC371" s="100">
        <f>IF(SamplingData[[#This Row],[Max Error Bound (up)]] = 0,0,SamplingData[[#This Row],[Max Error Bound (up)]]/SamplingData[[#Totals],[Max Error Bound (up)]])</f>
        <v>1.3339541516770137E-3</v>
      </c>
      <c r="AD371" s="104">
        <f>SUM($AC$5:AC371)</f>
        <v>0.96376486914441251</v>
      </c>
      <c r="AE371" s="100" t="str" cm="1">
        <f t="array" ref="AE371">IF(SamplingData[[#This Row],[up/U Selection Probability]] = 0, "Zero", TEXT(SamplingData[[#This Row],[Lower Range]], REPT("0",LEN('General Info'!$B$42))) &amp; " - " &amp; TEXT(SamplingData[[#This Row],[Upper Range]], REPT("0",LEN('General Info'!$B$42))))</f>
        <v>96243 - 96375</v>
      </c>
      <c r="AF371" s="100">
        <f>SamplingData[[#This Row],[Upper Range]]-SamplingData[[#This Row],[Span]]</f>
        <v>96243.091499273549</v>
      </c>
      <c r="AG371" s="100">
        <f>IF(ISNUMBER('General Info'!$B$42), ((SamplingData[[#This Row],[up/U Selection Probability]]) * 'General Info'!$B$44) - 1, 0)</f>
        <v>132.39541516770137</v>
      </c>
      <c r="AH371" s="100">
        <f>IF(ISNUMBER('General Info'!$B$42), (SamplingData[[#This Row],[Running (cumulative) sum]] * ('General Info'!$B$42 -'General Info'!$B$43 + 1)) + 'General Info'!$B$43 - 1, 0)</f>
        <v>96375.486914441251</v>
      </c>
      <c r="AI371" s="100" t="str">
        <f>IF(ISERROR(MATCH(SamplingData[[#This Row],[Batch by Type (p)]],SelectedPrecincts[Batch Name], 0)), "", INDEX(SelectedPrecincts[Draw], MATCH(SamplingData[[#This Row],[Batch by Type (p)]],SelectedPrecincts[Batch Name], 0)))</f>
        <v/>
      </c>
      <c r="AJ371" s="101">
        <f>IF(COUNTIF(SelectedPrecincts[Batch Name],SamplingData[[#This Row],[Batch by Type (p)]]) &lt;&gt; 0, COUNTIF(SelectedPrecincts[Batch Name],SamplingData[[#This Row],[Batch by Type (p)]]), 0)</f>
        <v>0</v>
      </c>
    </row>
    <row r="372" spans="1:36" ht="15" customHeight="1" x14ac:dyDescent="0.35">
      <c r="A372" s="98" t="s">
        <v>583</v>
      </c>
      <c r="B372" s="98">
        <v>39</v>
      </c>
      <c r="C372" s="98">
        <v>14</v>
      </c>
      <c r="D372" s="93">
        <v>6</v>
      </c>
      <c r="E372" s="93"/>
      <c r="F372" s="93"/>
      <c r="G372" s="97"/>
      <c r="H372" s="97"/>
      <c r="I372" s="93"/>
      <c r="J372" s="93"/>
      <c r="K372" s="93"/>
      <c r="L372" s="93"/>
      <c r="M372" s="93"/>
      <c r="N372" s="98">
        <v>0</v>
      </c>
      <c r="O372" s="98">
        <v>1</v>
      </c>
      <c r="P372" s="99">
        <f>SUM(SamplingData[[#This Row],[Winning Candidate]:[Under Votes]])</f>
        <v>60</v>
      </c>
      <c r="Q372" s="100">
        <f>IF(AND(SamplingData[[#This Row],[Total]]&lt;&gt; 0, NOT(ISBLANK(SamplingData[[#This Row],[Losing Candidate]]))),(SamplingData[[#This Row],[Total]]+SamplingData[[#This Row],[Winning Candidate]]-SamplingData[[#This Row],[Losing Candidate]])/(SamplingData[[#Totals],[Winning Candidate]]-SamplingData[[#Totals],[Losing Candidate]]), 0)</f>
        <v>5.3726060299601796E-3</v>
      </c>
      <c r="R372" s="100">
        <f>IF(AND(SamplingData[[#This Row],[Total]]&lt;&gt; 0, NOT(ISBLANK(SamplingData[[#This Row],[Candidate 3]]))),(SamplingData[[#This Row],[Total]]+SamplingData[[#This Row],[Winning Candidate]]-SamplingData[[#This Row],[Candidate 3]])/(SamplingData[[#Totals],[Winning Candidate]]-SamplingData[[#Totals],[Candidate 3]]), 0)</f>
        <v>5.2494919846466474E-3</v>
      </c>
      <c r="S372" s="100">
        <f>IF(AND(SamplingData[[#This Row],[Total]]&lt;&gt; 0, NOT(ISBLANK(SamplingData[[#This Row],[Candidate 4]]))),(SamplingData[[#This Row],[Total]]+SamplingData[[#This Row],[Winning Candidate]]-SamplingData[[#This Row],[Candidate 4]])/(SamplingData[[#Totals],[Winning Candidate]]-SamplingData[[#Totals],[Candidate 4]]), 0)</f>
        <v>0</v>
      </c>
      <c r="T372" s="100">
        <f>IF(AND(SamplingData[[#This Row],[Total]]&lt;&gt; 0, NOT(ISBLANK(SamplingData[[#This Row],[Candidate 5]]))),(SamplingData[[#This Row],[Total]]+SamplingData[[#This Row],[Winning Candidate]]-SamplingData[[#This Row],[Candidate 5]])/(SamplingData[[#Totals],[Winning Candidate]]-SamplingData[[#Totals],[Candidate 5]]), 0)</f>
        <v>0</v>
      </c>
      <c r="U372" s="100">
        <f>IF(AND(SamplingData[[#This Row],[Total]]&lt;&gt; 0, NOT(ISBLANK(SamplingData[[#This Row],[Candidate 6]]))),(SamplingData[[#This Row],[Total]]+SamplingData[[#This Row],[Losing Candidate]]-SamplingData[[#This Row],[Candidate 6]])/(SamplingData[[#Totals],[Winning Candidate]]-SamplingData[[#Totals],[Candidate 6]]), 0)</f>
        <v>0</v>
      </c>
      <c r="V372" s="100">
        <f>IF(AND(SamplingData[[#This Row],[Total]]&lt;&gt; 0, NOT(ISBLANK(SamplingData[[#This Row],[Candidate 7]]))),(SamplingData[[#This Row],[Total]]+SamplingData[[#This Row],[Winning Candidate]]-SamplingData[[#This Row],[Candidate 7]])/(SamplingData[[#Totals],[Winning Candidate]]-SamplingData[[#Totals],[Candidate 7]]), 0)</f>
        <v>0</v>
      </c>
      <c r="W372" s="100">
        <f>IF(AND(SamplingData[[#This Row],[Total]]&lt;&gt; 0, NOT(ISBLANK(SamplingData[[#This Row],[Candidate 8]]))),(SamplingData[[#This Row],[Total]]+SamplingData[[#This Row],[Winning Candidate]]-SamplingData[[#This Row],[Candidate 8]])/(SamplingData[[#Totals],[Winning Candidate]]-SamplingData[[#Totals],[Candidate 8]]), 0)</f>
        <v>0</v>
      </c>
      <c r="X37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2" s="100">
        <f>MAX(SamplingData[[#This Row],[Error Bound (up) - Max. possible relative overstatement - Losing Candidate]:[Error Bound (up) - Max. possible relative overstatement - Candidate 12]])</f>
        <v>5.3726060299601796E-3</v>
      </c>
      <c r="AC372" s="100">
        <f>IF(SamplingData[[#This Row],[Max Error Bound (up)]] = 0,0,SamplingData[[#This Row],[Max Error Bound (up)]]/SamplingData[[#Totals],[Max Error Bound (up)]])</f>
        <v>2.1805019787028111E-3</v>
      </c>
      <c r="AD372" s="104">
        <f>SUM($AC$5:AC372)</f>
        <v>0.96594537112311529</v>
      </c>
      <c r="AE372" s="100" t="str" cm="1">
        <f t="array" ref="AE372">IF(SamplingData[[#This Row],[up/U Selection Probability]] = 0, "Zero", TEXT(SamplingData[[#This Row],[Lower Range]], REPT("0",LEN('General Info'!$B$42))) &amp; " - " &amp; TEXT(SamplingData[[#This Row],[Upper Range]], REPT("0",LEN('General Info'!$B$42))))</f>
        <v>96376 - 96594</v>
      </c>
      <c r="AF372" s="100">
        <f>SamplingData[[#This Row],[Upper Range]]-SamplingData[[#This Row],[Span]]</f>
        <v>96376.486914441251</v>
      </c>
      <c r="AG372" s="100">
        <f>IF(ISNUMBER('General Info'!$B$42), ((SamplingData[[#This Row],[up/U Selection Probability]]) * 'General Info'!$B$44) - 1, 0)</f>
        <v>217.05019787028112</v>
      </c>
      <c r="AH372" s="100">
        <f>IF(ISNUMBER('General Info'!$B$42), (SamplingData[[#This Row],[Running (cumulative) sum]] * ('General Info'!$B$42 -'General Info'!$B$43 + 1)) + 'General Info'!$B$43 - 1, 0)</f>
        <v>96593.537112311533</v>
      </c>
      <c r="AI372" s="100" t="str">
        <f>IF(ISERROR(MATCH(SamplingData[[#This Row],[Batch by Type (p)]],SelectedPrecincts[Batch Name], 0)), "", INDEX(SelectedPrecincts[Draw], MATCH(SamplingData[[#This Row],[Batch by Type (p)]],SelectedPrecincts[Batch Name], 0)))</f>
        <v/>
      </c>
      <c r="AJ372" s="101">
        <f>IF(COUNTIF(SelectedPrecincts[Batch Name],SamplingData[[#This Row],[Batch by Type (p)]]) &lt;&gt; 0, COUNTIF(SelectedPrecincts[Batch Name],SamplingData[[#This Row],[Batch by Type (p)]]), 0)</f>
        <v>0</v>
      </c>
    </row>
    <row r="373" spans="1:36" ht="15" customHeight="1" x14ac:dyDescent="0.35">
      <c r="A373" s="98" t="s">
        <v>584</v>
      </c>
      <c r="B373" s="98">
        <v>8</v>
      </c>
      <c r="C373" s="98">
        <v>1</v>
      </c>
      <c r="D373" s="93">
        <v>1</v>
      </c>
      <c r="E373" s="93"/>
      <c r="F373" s="93"/>
      <c r="G373" s="97"/>
      <c r="H373" s="97"/>
      <c r="I373" s="93"/>
      <c r="J373" s="93"/>
      <c r="K373" s="93"/>
      <c r="L373" s="93"/>
      <c r="M373" s="93"/>
      <c r="N373" s="98">
        <v>0</v>
      </c>
      <c r="O373" s="98">
        <v>0</v>
      </c>
      <c r="P373" s="99">
        <f>SUM(SamplingData[[#This Row],[Winning Candidate]:[Under Votes]])</f>
        <v>10</v>
      </c>
      <c r="Q373" s="100">
        <f>IF(AND(SamplingData[[#This Row],[Total]]&lt;&gt; 0, NOT(ISBLANK(SamplingData[[#This Row],[Losing Candidate]]))),(SamplingData[[#This Row],[Total]]+SamplingData[[#This Row],[Winning Candidate]]-SamplingData[[#This Row],[Losing Candidate]])/(SamplingData[[#Totals],[Winning Candidate]]-SamplingData[[#Totals],[Losing Candidate]]), 0)</f>
        <v>1.0745212059920359E-3</v>
      </c>
      <c r="R373" s="100">
        <f>IF(AND(SamplingData[[#This Row],[Total]]&lt;&gt; 0, NOT(ISBLANK(SamplingData[[#This Row],[Candidate 3]]))),(SamplingData[[#This Row],[Total]]+SamplingData[[#This Row],[Winning Candidate]]-SamplingData[[#This Row],[Candidate 3]])/(SamplingData[[#Totals],[Winning Candidate]]-SamplingData[[#Totals],[Candidate 3]]), 0)</f>
        <v>9.5958455633325809E-4</v>
      </c>
      <c r="S373" s="100">
        <f>IF(AND(SamplingData[[#This Row],[Total]]&lt;&gt; 0, NOT(ISBLANK(SamplingData[[#This Row],[Candidate 4]]))),(SamplingData[[#This Row],[Total]]+SamplingData[[#This Row],[Winning Candidate]]-SamplingData[[#This Row],[Candidate 4]])/(SamplingData[[#Totals],[Winning Candidate]]-SamplingData[[#Totals],[Candidate 4]]), 0)</f>
        <v>0</v>
      </c>
      <c r="T373" s="100">
        <f>IF(AND(SamplingData[[#This Row],[Total]]&lt;&gt; 0, NOT(ISBLANK(SamplingData[[#This Row],[Candidate 5]]))),(SamplingData[[#This Row],[Total]]+SamplingData[[#This Row],[Winning Candidate]]-SamplingData[[#This Row],[Candidate 5]])/(SamplingData[[#Totals],[Winning Candidate]]-SamplingData[[#Totals],[Candidate 5]]), 0)</f>
        <v>0</v>
      </c>
      <c r="U373" s="100">
        <f>IF(AND(SamplingData[[#This Row],[Total]]&lt;&gt; 0, NOT(ISBLANK(SamplingData[[#This Row],[Candidate 6]]))),(SamplingData[[#This Row],[Total]]+SamplingData[[#This Row],[Losing Candidate]]-SamplingData[[#This Row],[Candidate 6]])/(SamplingData[[#Totals],[Winning Candidate]]-SamplingData[[#Totals],[Candidate 6]]), 0)</f>
        <v>0</v>
      </c>
      <c r="V373" s="100">
        <f>IF(AND(SamplingData[[#This Row],[Total]]&lt;&gt; 0, NOT(ISBLANK(SamplingData[[#This Row],[Candidate 7]]))),(SamplingData[[#This Row],[Total]]+SamplingData[[#This Row],[Winning Candidate]]-SamplingData[[#This Row],[Candidate 7]])/(SamplingData[[#Totals],[Winning Candidate]]-SamplingData[[#Totals],[Candidate 7]]), 0)</f>
        <v>0</v>
      </c>
      <c r="W373" s="100">
        <f>IF(AND(SamplingData[[#This Row],[Total]]&lt;&gt; 0, NOT(ISBLANK(SamplingData[[#This Row],[Candidate 8]]))),(SamplingData[[#This Row],[Total]]+SamplingData[[#This Row],[Winning Candidate]]-SamplingData[[#This Row],[Candidate 8]])/(SamplingData[[#Totals],[Winning Candidate]]-SamplingData[[#Totals],[Candidate 8]]), 0)</f>
        <v>0</v>
      </c>
      <c r="X37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3" s="100">
        <f>MAX(SamplingData[[#This Row],[Error Bound (up) - Max. possible relative overstatement - Losing Candidate]:[Error Bound (up) - Max. possible relative overstatement - Candidate 12]])</f>
        <v>1.0745212059920359E-3</v>
      </c>
      <c r="AC373" s="100">
        <f>IF(SamplingData[[#This Row],[Max Error Bound (up)]] = 0,0,SamplingData[[#This Row],[Max Error Bound (up)]]/SamplingData[[#Totals],[Max Error Bound (up)]])</f>
        <v>4.361003957405622E-4</v>
      </c>
      <c r="AD373" s="104">
        <f>SUM($AC$5:AC373)</f>
        <v>0.96638147151885589</v>
      </c>
      <c r="AE373" s="100" t="str" cm="1">
        <f t="array" ref="AE373">IF(SamplingData[[#This Row],[up/U Selection Probability]] = 0, "Zero", TEXT(SamplingData[[#This Row],[Lower Range]], REPT("0",LEN('General Info'!$B$42))) &amp; " - " &amp; TEXT(SamplingData[[#This Row],[Upper Range]], REPT("0",LEN('General Info'!$B$42))))</f>
        <v>96595 - 96637</v>
      </c>
      <c r="AF373" s="100">
        <f>SamplingData[[#This Row],[Upper Range]]-SamplingData[[#This Row],[Span]]</f>
        <v>96594.537112311533</v>
      </c>
      <c r="AG373" s="100">
        <f>IF(ISNUMBER('General Info'!$B$42), ((SamplingData[[#This Row],[up/U Selection Probability]]) * 'General Info'!$B$44) - 1, 0)</f>
        <v>42.610039574056223</v>
      </c>
      <c r="AH373" s="100">
        <f>IF(ISNUMBER('General Info'!$B$42), (SamplingData[[#This Row],[Running (cumulative) sum]] * ('General Info'!$B$42 -'General Info'!$B$43 + 1)) + 'General Info'!$B$43 - 1, 0)</f>
        <v>96637.147151885583</v>
      </c>
      <c r="AI373" s="100" t="str">
        <f>IF(ISERROR(MATCH(SamplingData[[#This Row],[Batch by Type (p)]],SelectedPrecincts[Batch Name], 0)), "", INDEX(SelectedPrecincts[Draw], MATCH(SamplingData[[#This Row],[Batch by Type (p)]],SelectedPrecincts[Batch Name], 0)))</f>
        <v/>
      </c>
      <c r="AJ373" s="101">
        <f>IF(COUNTIF(SelectedPrecincts[Batch Name],SamplingData[[#This Row],[Batch by Type (p)]]) &lt;&gt; 0, COUNTIF(SelectedPrecincts[Batch Name],SamplingData[[#This Row],[Batch by Type (p)]]), 0)</f>
        <v>0</v>
      </c>
    </row>
    <row r="374" spans="1:36" ht="15" customHeight="1" x14ac:dyDescent="0.35">
      <c r="A374" s="98" t="s">
        <v>585</v>
      </c>
      <c r="B374" s="98">
        <v>68</v>
      </c>
      <c r="C374" s="98">
        <v>21</v>
      </c>
      <c r="D374" s="93">
        <v>5</v>
      </c>
      <c r="E374" s="93"/>
      <c r="F374" s="93"/>
      <c r="G374" s="97"/>
      <c r="H374" s="97"/>
      <c r="I374" s="93"/>
      <c r="J374" s="93"/>
      <c r="K374" s="93"/>
      <c r="L374" s="93"/>
      <c r="M374" s="93"/>
      <c r="N374" s="98">
        <v>0</v>
      </c>
      <c r="O374" s="98">
        <v>1</v>
      </c>
      <c r="P374" s="99">
        <f>SUM(SamplingData[[#This Row],[Winning Candidate]:[Under Votes]])</f>
        <v>95</v>
      </c>
      <c r="Q374" s="100">
        <f>IF(AND(SamplingData[[#This Row],[Total]]&lt;&gt; 0, NOT(ISBLANK(SamplingData[[#This Row],[Losing Candidate]]))),(SamplingData[[#This Row],[Total]]+SamplingData[[#This Row],[Winning Candidate]]-SamplingData[[#This Row],[Losing Candidate]])/(SamplingData[[#Totals],[Winning Candidate]]-SamplingData[[#Totals],[Losing Candidate]]), 0)</f>
        <v>8.9754124265217124E-3</v>
      </c>
      <c r="R374" s="100">
        <f>IF(AND(SamplingData[[#This Row],[Total]]&lt;&gt; 0, NOT(ISBLANK(SamplingData[[#This Row],[Candidate 3]]))),(SamplingData[[#This Row],[Total]]+SamplingData[[#This Row],[Winning Candidate]]-SamplingData[[#This Row],[Candidate 3]])/(SamplingData[[#Totals],[Winning Candidate]]-SamplingData[[#Totals],[Candidate 3]]), 0)</f>
        <v>8.918491758862045E-3</v>
      </c>
      <c r="S374" s="100">
        <f>IF(AND(SamplingData[[#This Row],[Total]]&lt;&gt; 0, NOT(ISBLANK(SamplingData[[#This Row],[Candidate 4]]))),(SamplingData[[#This Row],[Total]]+SamplingData[[#This Row],[Winning Candidate]]-SamplingData[[#This Row],[Candidate 4]])/(SamplingData[[#Totals],[Winning Candidate]]-SamplingData[[#Totals],[Candidate 4]]), 0)</f>
        <v>0</v>
      </c>
      <c r="T374" s="100">
        <f>IF(AND(SamplingData[[#This Row],[Total]]&lt;&gt; 0, NOT(ISBLANK(SamplingData[[#This Row],[Candidate 5]]))),(SamplingData[[#This Row],[Total]]+SamplingData[[#This Row],[Winning Candidate]]-SamplingData[[#This Row],[Candidate 5]])/(SamplingData[[#Totals],[Winning Candidate]]-SamplingData[[#Totals],[Candidate 5]]), 0)</f>
        <v>0</v>
      </c>
      <c r="U374" s="100">
        <f>IF(AND(SamplingData[[#This Row],[Total]]&lt;&gt; 0, NOT(ISBLANK(SamplingData[[#This Row],[Candidate 6]]))),(SamplingData[[#This Row],[Total]]+SamplingData[[#This Row],[Losing Candidate]]-SamplingData[[#This Row],[Candidate 6]])/(SamplingData[[#Totals],[Winning Candidate]]-SamplingData[[#Totals],[Candidate 6]]), 0)</f>
        <v>0</v>
      </c>
      <c r="V374" s="100">
        <f>IF(AND(SamplingData[[#This Row],[Total]]&lt;&gt; 0, NOT(ISBLANK(SamplingData[[#This Row],[Candidate 7]]))),(SamplingData[[#This Row],[Total]]+SamplingData[[#This Row],[Winning Candidate]]-SamplingData[[#This Row],[Candidate 7]])/(SamplingData[[#Totals],[Winning Candidate]]-SamplingData[[#Totals],[Candidate 7]]), 0)</f>
        <v>0</v>
      </c>
      <c r="W374" s="100">
        <f>IF(AND(SamplingData[[#This Row],[Total]]&lt;&gt; 0, NOT(ISBLANK(SamplingData[[#This Row],[Candidate 8]]))),(SamplingData[[#This Row],[Total]]+SamplingData[[#This Row],[Winning Candidate]]-SamplingData[[#This Row],[Candidate 8]])/(SamplingData[[#Totals],[Winning Candidate]]-SamplingData[[#Totals],[Candidate 8]]), 0)</f>
        <v>0</v>
      </c>
      <c r="X37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4" s="100">
        <f>MAX(SamplingData[[#This Row],[Error Bound (up) - Max. possible relative overstatement - Losing Candidate]:[Error Bound (up) - Max. possible relative overstatement - Candidate 12]])</f>
        <v>8.9754124265217124E-3</v>
      </c>
      <c r="AC374" s="100">
        <f>IF(SamplingData[[#This Row],[Max Error Bound (up)]] = 0,0,SamplingData[[#This Row],[Max Error Bound (up)]]/SamplingData[[#Totals],[Max Error Bound (up)]])</f>
        <v>3.642720952656461E-3</v>
      </c>
      <c r="AD374" s="104">
        <f>SUM($AC$5:AC374)</f>
        <v>0.97002419247151239</v>
      </c>
      <c r="AE374" s="100" t="str" cm="1">
        <f t="array" ref="AE374">IF(SamplingData[[#This Row],[up/U Selection Probability]] = 0, "Zero", TEXT(SamplingData[[#This Row],[Lower Range]], REPT("0",LEN('General Info'!$B$42))) &amp; " - " &amp; TEXT(SamplingData[[#This Row],[Upper Range]], REPT("0",LEN('General Info'!$B$42))))</f>
        <v>96638 - 97001</v>
      </c>
      <c r="AF374" s="100">
        <f>SamplingData[[#This Row],[Upper Range]]-SamplingData[[#This Row],[Span]]</f>
        <v>96638.147151885583</v>
      </c>
      <c r="AG374" s="100">
        <f>IF(ISNUMBER('General Info'!$B$42), ((SamplingData[[#This Row],[up/U Selection Probability]]) * 'General Info'!$B$44) - 1, 0)</f>
        <v>363.2720952656461</v>
      </c>
      <c r="AH374" s="100">
        <f>IF(ISNUMBER('General Info'!$B$42), (SamplingData[[#This Row],[Running (cumulative) sum]] * ('General Info'!$B$42 -'General Info'!$B$43 + 1)) + 'General Info'!$B$43 - 1, 0)</f>
        <v>97001.419247151236</v>
      </c>
      <c r="AI374" s="100" t="str">
        <f>IF(ISERROR(MATCH(SamplingData[[#This Row],[Batch by Type (p)]],SelectedPrecincts[Batch Name], 0)), "", INDEX(SelectedPrecincts[Draw], MATCH(SamplingData[[#This Row],[Batch by Type (p)]],SelectedPrecincts[Batch Name], 0)))</f>
        <v/>
      </c>
      <c r="AJ374" s="101">
        <f>IF(COUNTIF(SelectedPrecincts[Batch Name],SamplingData[[#This Row],[Batch by Type (p)]]) &lt;&gt; 0, COUNTIF(SelectedPrecincts[Batch Name],SamplingData[[#This Row],[Batch by Type (p)]]), 0)</f>
        <v>0</v>
      </c>
    </row>
    <row r="375" spans="1:36" ht="15" customHeight="1" x14ac:dyDescent="0.35">
      <c r="A375" s="98" t="s">
        <v>586</v>
      </c>
      <c r="B375" s="98">
        <v>61</v>
      </c>
      <c r="C375" s="98">
        <v>8</v>
      </c>
      <c r="D375" s="93">
        <v>0</v>
      </c>
      <c r="E375" s="93"/>
      <c r="F375" s="93"/>
      <c r="G375" s="97"/>
      <c r="H375" s="97"/>
      <c r="I375" s="93"/>
      <c r="J375" s="93"/>
      <c r="K375" s="93"/>
      <c r="L375" s="93"/>
      <c r="M375" s="93"/>
      <c r="N375" s="98">
        <v>0</v>
      </c>
      <c r="O375" s="98">
        <v>0</v>
      </c>
      <c r="P375" s="99">
        <f>SUM(SamplingData[[#This Row],[Winning Candidate]:[Under Votes]])</f>
        <v>69</v>
      </c>
      <c r="Q375" s="100">
        <f>IF(AND(SamplingData[[#This Row],[Total]]&lt;&gt; 0, NOT(ISBLANK(SamplingData[[#This Row],[Losing Candidate]]))),(SamplingData[[#This Row],[Total]]+SamplingData[[#This Row],[Winning Candidate]]-SamplingData[[#This Row],[Losing Candidate]])/(SamplingData[[#Totals],[Winning Candidate]]-SamplingData[[#Totals],[Losing Candidate]]), 0)</f>
        <v>7.7112698312369636E-3</v>
      </c>
      <c r="R375" s="100">
        <f>IF(AND(SamplingData[[#This Row],[Total]]&lt;&gt; 0, NOT(ISBLANK(SamplingData[[#This Row],[Candidate 3]]))),(SamplingData[[#This Row],[Total]]+SamplingData[[#This Row],[Winning Candidate]]-SamplingData[[#This Row],[Candidate 3]])/(SamplingData[[#Totals],[Winning Candidate]]-SamplingData[[#Totals],[Candidate 3]]), 0)</f>
        <v>7.3379995484307969E-3</v>
      </c>
      <c r="S375" s="100">
        <f>IF(AND(SamplingData[[#This Row],[Total]]&lt;&gt; 0, NOT(ISBLANK(SamplingData[[#This Row],[Candidate 4]]))),(SamplingData[[#This Row],[Total]]+SamplingData[[#This Row],[Winning Candidate]]-SamplingData[[#This Row],[Candidate 4]])/(SamplingData[[#Totals],[Winning Candidate]]-SamplingData[[#Totals],[Candidate 4]]), 0)</f>
        <v>0</v>
      </c>
      <c r="T375" s="100">
        <f>IF(AND(SamplingData[[#This Row],[Total]]&lt;&gt; 0, NOT(ISBLANK(SamplingData[[#This Row],[Candidate 5]]))),(SamplingData[[#This Row],[Total]]+SamplingData[[#This Row],[Winning Candidate]]-SamplingData[[#This Row],[Candidate 5]])/(SamplingData[[#Totals],[Winning Candidate]]-SamplingData[[#Totals],[Candidate 5]]), 0)</f>
        <v>0</v>
      </c>
      <c r="U375" s="100">
        <f>IF(AND(SamplingData[[#This Row],[Total]]&lt;&gt; 0, NOT(ISBLANK(SamplingData[[#This Row],[Candidate 6]]))),(SamplingData[[#This Row],[Total]]+SamplingData[[#This Row],[Losing Candidate]]-SamplingData[[#This Row],[Candidate 6]])/(SamplingData[[#Totals],[Winning Candidate]]-SamplingData[[#Totals],[Candidate 6]]), 0)</f>
        <v>0</v>
      </c>
      <c r="V375" s="100">
        <f>IF(AND(SamplingData[[#This Row],[Total]]&lt;&gt; 0, NOT(ISBLANK(SamplingData[[#This Row],[Candidate 7]]))),(SamplingData[[#This Row],[Total]]+SamplingData[[#This Row],[Winning Candidate]]-SamplingData[[#This Row],[Candidate 7]])/(SamplingData[[#Totals],[Winning Candidate]]-SamplingData[[#Totals],[Candidate 7]]), 0)</f>
        <v>0</v>
      </c>
      <c r="W375" s="100">
        <f>IF(AND(SamplingData[[#This Row],[Total]]&lt;&gt; 0, NOT(ISBLANK(SamplingData[[#This Row],[Candidate 8]]))),(SamplingData[[#This Row],[Total]]+SamplingData[[#This Row],[Winning Candidate]]-SamplingData[[#This Row],[Candidate 8]])/(SamplingData[[#Totals],[Winning Candidate]]-SamplingData[[#Totals],[Candidate 8]]), 0)</f>
        <v>0</v>
      </c>
      <c r="X37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5" s="100">
        <f>MAX(SamplingData[[#This Row],[Error Bound (up) - Max. possible relative overstatement - Losing Candidate]:[Error Bound (up) - Max. possible relative overstatement - Candidate 12]])</f>
        <v>7.7112698312369636E-3</v>
      </c>
      <c r="AC375" s="100">
        <f>IF(SamplingData[[#This Row],[Max Error Bound (up)]] = 0,0,SamplingData[[#This Row],[Max Error Bound (up)]]/SamplingData[[#Totals],[Max Error Bound (up)]])</f>
        <v>3.129661663549917E-3</v>
      </c>
      <c r="AD375" s="104">
        <f>SUM($AC$5:AC375)</f>
        <v>0.97315385413506228</v>
      </c>
      <c r="AE375" s="100" t="str" cm="1">
        <f t="array" ref="AE375">IF(SamplingData[[#This Row],[up/U Selection Probability]] = 0, "Zero", TEXT(SamplingData[[#This Row],[Lower Range]], REPT("0",LEN('General Info'!$B$42))) &amp; " - " &amp; TEXT(SamplingData[[#This Row],[Upper Range]], REPT("0",LEN('General Info'!$B$42))))</f>
        <v>97002 - 97314</v>
      </c>
      <c r="AF375" s="100">
        <f>SamplingData[[#This Row],[Upper Range]]-SamplingData[[#This Row],[Span]]</f>
        <v>97002.419247151236</v>
      </c>
      <c r="AG375" s="100">
        <f>IF(ISNUMBER('General Info'!$B$42), ((SamplingData[[#This Row],[up/U Selection Probability]]) * 'General Info'!$B$44) - 1, 0)</f>
        <v>311.96616635499169</v>
      </c>
      <c r="AH375" s="100">
        <f>IF(ISNUMBER('General Info'!$B$42), (SamplingData[[#This Row],[Running (cumulative) sum]] * ('General Info'!$B$42 -'General Info'!$B$43 + 1)) + 'General Info'!$B$43 - 1, 0)</f>
        <v>97314.385413506228</v>
      </c>
      <c r="AI375" s="100" t="str">
        <f>IF(ISERROR(MATCH(SamplingData[[#This Row],[Batch by Type (p)]],SelectedPrecincts[Batch Name], 0)), "", INDEX(SelectedPrecincts[Draw], MATCH(SamplingData[[#This Row],[Batch by Type (p)]],SelectedPrecincts[Batch Name], 0)))</f>
        <v/>
      </c>
      <c r="AJ375" s="101">
        <f>IF(COUNTIF(SelectedPrecincts[Batch Name],SamplingData[[#This Row],[Batch by Type (p)]]) &lt;&gt; 0, COUNTIF(SelectedPrecincts[Batch Name],SamplingData[[#This Row],[Batch by Type (p)]]), 0)</f>
        <v>0</v>
      </c>
    </row>
    <row r="376" spans="1:36" ht="15" customHeight="1" x14ac:dyDescent="0.35">
      <c r="A376" s="98" t="s">
        <v>587</v>
      </c>
      <c r="B376" s="98">
        <v>79</v>
      </c>
      <c r="C376" s="98">
        <v>23</v>
      </c>
      <c r="D376" s="93">
        <v>5</v>
      </c>
      <c r="E376" s="93"/>
      <c r="F376" s="93"/>
      <c r="G376" s="97"/>
      <c r="H376" s="97"/>
      <c r="I376" s="93"/>
      <c r="J376" s="93"/>
      <c r="K376" s="93"/>
      <c r="L376" s="93"/>
      <c r="M376" s="93"/>
      <c r="N376" s="98">
        <v>0</v>
      </c>
      <c r="O376" s="98">
        <v>1</v>
      </c>
      <c r="P376" s="99">
        <f>SUM(SamplingData[[#This Row],[Winning Candidate]:[Under Votes]])</f>
        <v>108</v>
      </c>
      <c r="Q376" s="100">
        <f>IF(AND(SamplingData[[#This Row],[Total]]&lt;&gt; 0, NOT(ISBLANK(SamplingData[[#This Row],[Losing Candidate]]))),(SamplingData[[#This Row],[Total]]+SamplingData[[#This Row],[Winning Candidate]]-SamplingData[[#This Row],[Losing Candidate]])/(SamplingData[[#Totals],[Winning Candidate]]-SamplingData[[#Totals],[Losing Candidate]]), 0)</f>
        <v>1.0365969281334935E-2</v>
      </c>
      <c r="R376" s="100">
        <f>IF(AND(SamplingData[[#This Row],[Total]]&lt;&gt; 0, NOT(ISBLANK(SamplingData[[#This Row],[Candidate 3]]))),(SamplingData[[#This Row],[Total]]+SamplingData[[#This Row],[Winning Candidate]]-SamplingData[[#This Row],[Candidate 3]])/(SamplingData[[#Totals],[Winning Candidate]]-SamplingData[[#Totals],[Candidate 3]]), 0)</f>
        <v>1.0273199367803116E-2</v>
      </c>
      <c r="S376" s="100">
        <f>IF(AND(SamplingData[[#This Row],[Total]]&lt;&gt; 0, NOT(ISBLANK(SamplingData[[#This Row],[Candidate 4]]))),(SamplingData[[#This Row],[Total]]+SamplingData[[#This Row],[Winning Candidate]]-SamplingData[[#This Row],[Candidate 4]])/(SamplingData[[#Totals],[Winning Candidate]]-SamplingData[[#Totals],[Candidate 4]]), 0)</f>
        <v>0</v>
      </c>
      <c r="T376" s="100">
        <f>IF(AND(SamplingData[[#This Row],[Total]]&lt;&gt; 0, NOT(ISBLANK(SamplingData[[#This Row],[Candidate 5]]))),(SamplingData[[#This Row],[Total]]+SamplingData[[#This Row],[Winning Candidate]]-SamplingData[[#This Row],[Candidate 5]])/(SamplingData[[#Totals],[Winning Candidate]]-SamplingData[[#Totals],[Candidate 5]]), 0)</f>
        <v>0</v>
      </c>
      <c r="U376" s="100">
        <f>IF(AND(SamplingData[[#This Row],[Total]]&lt;&gt; 0, NOT(ISBLANK(SamplingData[[#This Row],[Candidate 6]]))),(SamplingData[[#This Row],[Total]]+SamplingData[[#This Row],[Losing Candidate]]-SamplingData[[#This Row],[Candidate 6]])/(SamplingData[[#Totals],[Winning Candidate]]-SamplingData[[#Totals],[Candidate 6]]), 0)</f>
        <v>0</v>
      </c>
      <c r="V376" s="100">
        <f>IF(AND(SamplingData[[#This Row],[Total]]&lt;&gt; 0, NOT(ISBLANK(SamplingData[[#This Row],[Candidate 7]]))),(SamplingData[[#This Row],[Total]]+SamplingData[[#This Row],[Winning Candidate]]-SamplingData[[#This Row],[Candidate 7]])/(SamplingData[[#Totals],[Winning Candidate]]-SamplingData[[#Totals],[Candidate 7]]), 0)</f>
        <v>0</v>
      </c>
      <c r="W376" s="100">
        <f>IF(AND(SamplingData[[#This Row],[Total]]&lt;&gt; 0, NOT(ISBLANK(SamplingData[[#This Row],[Candidate 8]]))),(SamplingData[[#This Row],[Total]]+SamplingData[[#This Row],[Winning Candidate]]-SamplingData[[#This Row],[Candidate 8]])/(SamplingData[[#Totals],[Winning Candidate]]-SamplingData[[#Totals],[Candidate 8]]), 0)</f>
        <v>0</v>
      </c>
      <c r="X37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6" s="100">
        <f>MAX(SamplingData[[#This Row],[Error Bound (up) - Max. possible relative overstatement - Losing Candidate]:[Error Bound (up) - Max. possible relative overstatement - Candidate 12]])</f>
        <v>1.0365969281334935E-2</v>
      </c>
      <c r="AC376" s="100">
        <f>IF(SamplingData[[#This Row],[Max Error Bound (up)]] = 0,0,SamplingData[[#This Row],[Max Error Bound (up)]]/SamplingData[[#Totals],[Max Error Bound (up)]])</f>
        <v>4.2070861706736597E-3</v>
      </c>
      <c r="AD376" s="104">
        <f>SUM($AC$5:AC376)</f>
        <v>0.97736094030573595</v>
      </c>
      <c r="AE376" s="100" t="str" cm="1">
        <f t="array" ref="AE376">IF(SamplingData[[#This Row],[up/U Selection Probability]] = 0, "Zero", TEXT(SamplingData[[#This Row],[Lower Range]], REPT("0",LEN('General Info'!$B$42))) &amp; " - " &amp; TEXT(SamplingData[[#This Row],[Upper Range]], REPT("0",LEN('General Info'!$B$42))))</f>
        <v>97315 - 97735</v>
      </c>
      <c r="AF376" s="100">
        <f>SamplingData[[#This Row],[Upper Range]]-SamplingData[[#This Row],[Span]]</f>
        <v>97315.385413506228</v>
      </c>
      <c r="AG376" s="100">
        <f>IF(ISNUMBER('General Info'!$B$42), ((SamplingData[[#This Row],[up/U Selection Probability]]) * 'General Info'!$B$44) - 1, 0)</f>
        <v>419.70861706736599</v>
      </c>
      <c r="AH376" s="100">
        <f>IF(ISNUMBER('General Info'!$B$42), (SamplingData[[#This Row],[Running (cumulative) sum]] * ('General Info'!$B$42 -'General Info'!$B$43 + 1)) + 'General Info'!$B$43 - 1, 0)</f>
        <v>97735.0940305736</v>
      </c>
      <c r="AI376" s="100" t="str">
        <f>IF(ISERROR(MATCH(SamplingData[[#This Row],[Batch by Type (p)]],SelectedPrecincts[Batch Name], 0)), "", INDEX(SelectedPrecincts[Draw], MATCH(SamplingData[[#This Row],[Batch by Type (p)]],SelectedPrecincts[Batch Name], 0)))</f>
        <v/>
      </c>
      <c r="AJ376" s="101">
        <f>IF(COUNTIF(SelectedPrecincts[Batch Name],SamplingData[[#This Row],[Batch by Type (p)]]) &lt;&gt; 0, COUNTIF(SelectedPrecincts[Batch Name],SamplingData[[#This Row],[Batch by Type (p)]]), 0)</f>
        <v>0</v>
      </c>
    </row>
    <row r="377" spans="1:36" ht="15" customHeight="1" x14ac:dyDescent="0.35">
      <c r="A377" s="98" t="s">
        <v>588</v>
      </c>
      <c r="B377" s="98">
        <v>43</v>
      </c>
      <c r="C377" s="98">
        <v>9</v>
      </c>
      <c r="D377" s="93">
        <v>3</v>
      </c>
      <c r="E377" s="93"/>
      <c r="F377" s="93"/>
      <c r="G377" s="97"/>
      <c r="H377" s="97"/>
      <c r="I377" s="93"/>
      <c r="J377" s="93"/>
      <c r="K377" s="93"/>
      <c r="L377" s="93"/>
      <c r="M377" s="93"/>
      <c r="N377" s="98">
        <v>0</v>
      </c>
      <c r="O377" s="98">
        <v>0</v>
      </c>
      <c r="P377" s="99">
        <f>SUM(SamplingData[[#This Row],[Winning Candidate]:[Under Votes]])</f>
        <v>55</v>
      </c>
      <c r="Q377" s="100">
        <f>IF(AND(SamplingData[[#This Row],[Total]]&lt;&gt; 0, NOT(ISBLANK(SamplingData[[#This Row],[Losing Candidate]]))),(SamplingData[[#This Row],[Total]]+SamplingData[[#This Row],[Winning Candidate]]-SamplingData[[#This Row],[Losing Candidate]])/(SamplingData[[#Totals],[Winning Candidate]]-SamplingData[[#Totals],[Losing Candidate]]), 0)</f>
        <v>5.625434549017129E-3</v>
      </c>
      <c r="R377" s="100">
        <f>IF(AND(SamplingData[[#This Row],[Total]]&lt;&gt; 0, NOT(ISBLANK(SamplingData[[#This Row],[Candidate 3]]))),(SamplingData[[#This Row],[Total]]+SamplingData[[#This Row],[Winning Candidate]]-SamplingData[[#This Row],[Candidate 3]])/(SamplingData[[#Totals],[Winning Candidate]]-SamplingData[[#Totals],[Candidate 3]]), 0)</f>
        <v>5.3623842853917367E-3</v>
      </c>
      <c r="S377" s="100">
        <f>IF(AND(SamplingData[[#This Row],[Total]]&lt;&gt; 0, NOT(ISBLANK(SamplingData[[#This Row],[Candidate 4]]))),(SamplingData[[#This Row],[Total]]+SamplingData[[#This Row],[Winning Candidate]]-SamplingData[[#This Row],[Candidate 4]])/(SamplingData[[#Totals],[Winning Candidate]]-SamplingData[[#Totals],[Candidate 4]]), 0)</f>
        <v>0</v>
      </c>
      <c r="T377" s="100">
        <f>IF(AND(SamplingData[[#This Row],[Total]]&lt;&gt; 0, NOT(ISBLANK(SamplingData[[#This Row],[Candidate 5]]))),(SamplingData[[#This Row],[Total]]+SamplingData[[#This Row],[Winning Candidate]]-SamplingData[[#This Row],[Candidate 5]])/(SamplingData[[#Totals],[Winning Candidate]]-SamplingData[[#Totals],[Candidate 5]]), 0)</f>
        <v>0</v>
      </c>
      <c r="U377" s="100">
        <f>IF(AND(SamplingData[[#This Row],[Total]]&lt;&gt; 0, NOT(ISBLANK(SamplingData[[#This Row],[Candidate 6]]))),(SamplingData[[#This Row],[Total]]+SamplingData[[#This Row],[Losing Candidate]]-SamplingData[[#This Row],[Candidate 6]])/(SamplingData[[#Totals],[Winning Candidate]]-SamplingData[[#Totals],[Candidate 6]]), 0)</f>
        <v>0</v>
      </c>
      <c r="V377" s="100">
        <f>IF(AND(SamplingData[[#This Row],[Total]]&lt;&gt; 0, NOT(ISBLANK(SamplingData[[#This Row],[Candidate 7]]))),(SamplingData[[#This Row],[Total]]+SamplingData[[#This Row],[Winning Candidate]]-SamplingData[[#This Row],[Candidate 7]])/(SamplingData[[#Totals],[Winning Candidate]]-SamplingData[[#Totals],[Candidate 7]]), 0)</f>
        <v>0</v>
      </c>
      <c r="W377" s="100">
        <f>IF(AND(SamplingData[[#This Row],[Total]]&lt;&gt; 0, NOT(ISBLANK(SamplingData[[#This Row],[Candidate 8]]))),(SamplingData[[#This Row],[Total]]+SamplingData[[#This Row],[Winning Candidate]]-SamplingData[[#This Row],[Candidate 8]])/(SamplingData[[#Totals],[Winning Candidate]]-SamplingData[[#Totals],[Candidate 8]]), 0)</f>
        <v>0</v>
      </c>
      <c r="X37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7" s="100">
        <f>MAX(SamplingData[[#This Row],[Error Bound (up) - Max. possible relative overstatement - Losing Candidate]:[Error Bound (up) - Max. possible relative overstatement - Candidate 12]])</f>
        <v>5.625434549017129E-3</v>
      </c>
      <c r="AC377" s="100">
        <f>IF(SamplingData[[#This Row],[Max Error Bound (up)]] = 0,0,SamplingData[[#This Row],[Max Error Bound (up)]]/SamplingData[[#Totals],[Max Error Bound (up)]])</f>
        <v>2.2831138365241197E-3</v>
      </c>
      <c r="AD377" s="104">
        <f>SUM($AC$5:AC377)</f>
        <v>0.97964405414226008</v>
      </c>
      <c r="AE377" s="100" t="str" cm="1">
        <f t="array" ref="AE377">IF(SamplingData[[#This Row],[up/U Selection Probability]] = 0, "Zero", TEXT(SamplingData[[#This Row],[Lower Range]], REPT("0",LEN('General Info'!$B$42))) &amp; " - " &amp; TEXT(SamplingData[[#This Row],[Upper Range]], REPT("0",LEN('General Info'!$B$42))))</f>
        <v>97736 - 97963</v>
      </c>
      <c r="AF377" s="100">
        <f>SamplingData[[#This Row],[Upper Range]]-SamplingData[[#This Row],[Span]]</f>
        <v>97736.0940305736</v>
      </c>
      <c r="AG377" s="100">
        <f>IF(ISNUMBER('General Info'!$B$42), ((SamplingData[[#This Row],[up/U Selection Probability]]) * 'General Info'!$B$44) - 1, 0)</f>
        <v>227.31138365241196</v>
      </c>
      <c r="AH377" s="100">
        <f>IF(ISNUMBER('General Info'!$B$42), (SamplingData[[#This Row],[Running (cumulative) sum]] * ('General Info'!$B$42 -'General Info'!$B$43 + 1)) + 'General Info'!$B$43 - 1, 0)</f>
        <v>97963.405414226014</v>
      </c>
      <c r="AI377" s="100" t="str">
        <f>IF(ISERROR(MATCH(SamplingData[[#This Row],[Batch by Type (p)]],SelectedPrecincts[Batch Name], 0)), "", INDEX(SelectedPrecincts[Draw], MATCH(SamplingData[[#This Row],[Batch by Type (p)]],SelectedPrecincts[Batch Name], 0)))</f>
        <v/>
      </c>
      <c r="AJ377" s="101">
        <f>IF(COUNTIF(SelectedPrecincts[Batch Name],SamplingData[[#This Row],[Batch by Type (p)]]) &lt;&gt; 0, COUNTIF(SelectedPrecincts[Batch Name],SamplingData[[#This Row],[Batch by Type (p)]]), 0)</f>
        <v>0</v>
      </c>
    </row>
    <row r="378" spans="1:36" ht="15" customHeight="1" x14ac:dyDescent="0.35">
      <c r="A378" s="98" t="s">
        <v>589</v>
      </c>
      <c r="B378" s="98">
        <v>31</v>
      </c>
      <c r="C378" s="98">
        <v>5</v>
      </c>
      <c r="D378" s="93">
        <v>0</v>
      </c>
      <c r="E378" s="93"/>
      <c r="F378" s="93"/>
      <c r="G378" s="97"/>
      <c r="H378" s="97"/>
      <c r="I378" s="93"/>
      <c r="J378" s="93"/>
      <c r="K378" s="93"/>
      <c r="L378" s="93"/>
      <c r="M378" s="93"/>
      <c r="N378" s="98">
        <v>0</v>
      </c>
      <c r="O378" s="98">
        <v>0</v>
      </c>
      <c r="P378" s="99">
        <f>SUM(SamplingData[[#This Row],[Winning Candidate]:[Under Votes]])</f>
        <v>36</v>
      </c>
      <c r="Q378" s="100">
        <f>IF(AND(SamplingData[[#This Row],[Total]]&lt;&gt; 0, NOT(ISBLANK(SamplingData[[#This Row],[Losing Candidate]]))),(SamplingData[[#This Row],[Total]]+SamplingData[[#This Row],[Winning Candidate]]-SamplingData[[#This Row],[Losing Candidate]])/(SamplingData[[#Totals],[Winning Candidate]]-SamplingData[[#Totals],[Losing Candidate]]), 0)</f>
        <v>3.9188420453827189E-3</v>
      </c>
      <c r="R378" s="100">
        <f>IF(AND(SamplingData[[#This Row],[Total]]&lt;&gt; 0, NOT(ISBLANK(SamplingData[[#This Row],[Candidate 3]]))),(SamplingData[[#This Row],[Total]]+SamplingData[[#This Row],[Winning Candidate]]-SamplingData[[#This Row],[Candidate 3]])/(SamplingData[[#Totals],[Winning Candidate]]-SamplingData[[#Totals],[Candidate 3]]), 0)</f>
        <v>3.7818920749604877E-3</v>
      </c>
      <c r="S378" s="100">
        <f>IF(AND(SamplingData[[#This Row],[Total]]&lt;&gt; 0, NOT(ISBLANK(SamplingData[[#This Row],[Candidate 4]]))),(SamplingData[[#This Row],[Total]]+SamplingData[[#This Row],[Winning Candidate]]-SamplingData[[#This Row],[Candidate 4]])/(SamplingData[[#Totals],[Winning Candidate]]-SamplingData[[#Totals],[Candidate 4]]), 0)</f>
        <v>0</v>
      </c>
      <c r="T378" s="100">
        <f>IF(AND(SamplingData[[#This Row],[Total]]&lt;&gt; 0, NOT(ISBLANK(SamplingData[[#This Row],[Candidate 5]]))),(SamplingData[[#This Row],[Total]]+SamplingData[[#This Row],[Winning Candidate]]-SamplingData[[#This Row],[Candidate 5]])/(SamplingData[[#Totals],[Winning Candidate]]-SamplingData[[#Totals],[Candidate 5]]), 0)</f>
        <v>0</v>
      </c>
      <c r="U378" s="100">
        <f>IF(AND(SamplingData[[#This Row],[Total]]&lt;&gt; 0, NOT(ISBLANK(SamplingData[[#This Row],[Candidate 6]]))),(SamplingData[[#This Row],[Total]]+SamplingData[[#This Row],[Losing Candidate]]-SamplingData[[#This Row],[Candidate 6]])/(SamplingData[[#Totals],[Winning Candidate]]-SamplingData[[#Totals],[Candidate 6]]), 0)</f>
        <v>0</v>
      </c>
      <c r="V378" s="100">
        <f>IF(AND(SamplingData[[#This Row],[Total]]&lt;&gt; 0, NOT(ISBLANK(SamplingData[[#This Row],[Candidate 7]]))),(SamplingData[[#This Row],[Total]]+SamplingData[[#This Row],[Winning Candidate]]-SamplingData[[#This Row],[Candidate 7]])/(SamplingData[[#Totals],[Winning Candidate]]-SamplingData[[#Totals],[Candidate 7]]), 0)</f>
        <v>0</v>
      </c>
      <c r="W378" s="100">
        <f>IF(AND(SamplingData[[#This Row],[Total]]&lt;&gt; 0, NOT(ISBLANK(SamplingData[[#This Row],[Candidate 8]]))),(SamplingData[[#This Row],[Total]]+SamplingData[[#This Row],[Winning Candidate]]-SamplingData[[#This Row],[Candidate 8]])/(SamplingData[[#Totals],[Winning Candidate]]-SamplingData[[#Totals],[Candidate 8]]), 0)</f>
        <v>0</v>
      </c>
      <c r="X37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8" s="100">
        <f>MAX(SamplingData[[#This Row],[Error Bound (up) - Max. possible relative overstatement - Losing Candidate]:[Error Bound (up) - Max. possible relative overstatement - Candidate 12]])</f>
        <v>3.9188420453827189E-3</v>
      </c>
      <c r="AC378" s="100">
        <f>IF(SamplingData[[#This Row],[Max Error Bound (up)]] = 0,0,SamplingData[[#This Row],[Max Error Bound (up)]]/SamplingData[[#Totals],[Max Error Bound (up)]])</f>
        <v>1.5904837962302857E-3</v>
      </c>
      <c r="AD378" s="104">
        <f>SUM($AC$5:AC378)</f>
        <v>0.98123453793849036</v>
      </c>
      <c r="AE378" s="100" t="str" cm="1">
        <f t="array" ref="AE378">IF(SamplingData[[#This Row],[up/U Selection Probability]] = 0, "Zero", TEXT(SamplingData[[#This Row],[Lower Range]], REPT("0",LEN('General Info'!$B$42))) &amp; " - " &amp; TEXT(SamplingData[[#This Row],[Upper Range]], REPT("0",LEN('General Info'!$B$42))))</f>
        <v>97964 - 98122</v>
      </c>
      <c r="AF378" s="100">
        <f>SamplingData[[#This Row],[Upper Range]]-SamplingData[[#This Row],[Span]]</f>
        <v>97964.405414226014</v>
      </c>
      <c r="AG378" s="100">
        <f>IF(ISNUMBER('General Info'!$B$42), ((SamplingData[[#This Row],[up/U Selection Probability]]) * 'General Info'!$B$44) - 1, 0)</f>
        <v>158.04837962302855</v>
      </c>
      <c r="AH378" s="100">
        <f>IF(ISNUMBER('General Info'!$B$42), (SamplingData[[#This Row],[Running (cumulative) sum]] * ('General Info'!$B$42 -'General Info'!$B$43 + 1)) + 'General Info'!$B$43 - 1, 0)</f>
        <v>98122.453793849039</v>
      </c>
      <c r="AI378" s="100" t="str">
        <f>IF(ISERROR(MATCH(SamplingData[[#This Row],[Batch by Type (p)]],SelectedPrecincts[Batch Name], 0)), "", INDEX(SelectedPrecincts[Draw], MATCH(SamplingData[[#This Row],[Batch by Type (p)]],SelectedPrecincts[Batch Name], 0)))</f>
        <v/>
      </c>
      <c r="AJ378" s="101">
        <f>IF(COUNTIF(SelectedPrecincts[Batch Name],SamplingData[[#This Row],[Batch by Type (p)]]) &lt;&gt; 0, COUNTIF(SelectedPrecincts[Batch Name],SamplingData[[#This Row],[Batch by Type (p)]]), 0)</f>
        <v>0</v>
      </c>
    </row>
    <row r="379" spans="1:36" ht="15" customHeight="1" x14ac:dyDescent="0.35">
      <c r="A379" s="98" t="s">
        <v>590</v>
      </c>
      <c r="B379" s="98">
        <v>63</v>
      </c>
      <c r="C379" s="98">
        <v>9</v>
      </c>
      <c r="D379" s="93">
        <v>1</v>
      </c>
      <c r="E379" s="93"/>
      <c r="F379" s="93"/>
      <c r="G379" s="97"/>
      <c r="H379" s="97"/>
      <c r="I379" s="93"/>
      <c r="J379" s="93"/>
      <c r="K379" s="93"/>
      <c r="L379" s="93"/>
      <c r="M379" s="93"/>
      <c r="N379" s="98">
        <v>0</v>
      </c>
      <c r="O379" s="98">
        <v>1</v>
      </c>
      <c r="P379" s="99">
        <f>SUM(SamplingData[[#This Row],[Winning Candidate]:[Under Votes]])</f>
        <v>74</v>
      </c>
      <c r="Q379" s="100">
        <f>IF(AND(SamplingData[[#This Row],[Total]]&lt;&gt; 0, NOT(ISBLANK(SamplingData[[#This Row],[Losing Candidate]]))),(SamplingData[[#This Row],[Total]]+SamplingData[[#This Row],[Winning Candidate]]-SamplingData[[#This Row],[Losing Candidate]])/(SamplingData[[#Totals],[Winning Candidate]]-SamplingData[[#Totals],[Losing Candidate]]), 0)</f>
        <v>8.0905126098223881E-3</v>
      </c>
      <c r="R379" s="100">
        <f>IF(AND(SamplingData[[#This Row],[Total]]&lt;&gt; 0, NOT(ISBLANK(SamplingData[[#This Row],[Candidate 3]]))),(SamplingData[[#This Row],[Total]]+SamplingData[[#This Row],[Winning Candidate]]-SamplingData[[#This Row],[Candidate 3]])/(SamplingData[[#Totals],[Winning Candidate]]-SamplingData[[#Totals],[Candidate 3]]), 0)</f>
        <v>7.6766764506660647E-3</v>
      </c>
      <c r="S379" s="100">
        <f>IF(AND(SamplingData[[#This Row],[Total]]&lt;&gt; 0, NOT(ISBLANK(SamplingData[[#This Row],[Candidate 4]]))),(SamplingData[[#This Row],[Total]]+SamplingData[[#This Row],[Winning Candidate]]-SamplingData[[#This Row],[Candidate 4]])/(SamplingData[[#Totals],[Winning Candidate]]-SamplingData[[#Totals],[Candidate 4]]), 0)</f>
        <v>0</v>
      </c>
      <c r="T379" s="100">
        <f>IF(AND(SamplingData[[#This Row],[Total]]&lt;&gt; 0, NOT(ISBLANK(SamplingData[[#This Row],[Candidate 5]]))),(SamplingData[[#This Row],[Total]]+SamplingData[[#This Row],[Winning Candidate]]-SamplingData[[#This Row],[Candidate 5]])/(SamplingData[[#Totals],[Winning Candidate]]-SamplingData[[#Totals],[Candidate 5]]), 0)</f>
        <v>0</v>
      </c>
      <c r="U379" s="100">
        <f>IF(AND(SamplingData[[#This Row],[Total]]&lt;&gt; 0, NOT(ISBLANK(SamplingData[[#This Row],[Candidate 6]]))),(SamplingData[[#This Row],[Total]]+SamplingData[[#This Row],[Losing Candidate]]-SamplingData[[#This Row],[Candidate 6]])/(SamplingData[[#Totals],[Winning Candidate]]-SamplingData[[#Totals],[Candidate 6]]), 0)</f>
        <v>0</v>
      </c>
      <c r="V379" s="100">
        <f>IF(AND(SamplingData[[#This Row],[Total]]&lt;&gt; 0, NOT(ISBLANK(SamplingData[[#This Row],[Candidate 7]]))),(SamplingData[[#This Row],[Total]]+SamplingData[[#This Row],[Winning Candidate]]-SamplingData[[#This Row],[Candidate 7]])/(SamplingData[[#Totals],[Winning Candidate]]-SamplingData[[#Totals],[Candidate 7]]), 0)</f>
        <v>0</v>
      </c>
      <c r="W379" s="100">
        <f>IF(AND(SamplingData[[#This Row],[Total]]&lt;&gt; 0, NOT(ISBLANK(SamplingData[[#This Row],[Candidate 8]]))),(SamplingData[[#This Row],[Total]]+SamplingData[[#This Row],[Winning Candidate]]-SamplingData[[#This Row],[Candidate 8]])/(SamplingData[[#Totals],[Winning Candidate]]-SamplingData[[#Totals],[Candidate 8]]), 0)</f>
        <v>0</v>
      </c>
      <c r="X37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9" s="100">
        <f>MAX(SamplingData[[#This Row],[Error Bound (up) - Max. possible relative overstatement - Losing Candidate]:[Error Bound (up) - Max. possible relative overstatement - Candidate 12]])</f>
        <v>8.0905126098223881E-3</v>
      </c>
      <c r="AC379" s="100">
        <f>IF(SamplingData[[#This Row],[Max Error Bound (up)]] = 0,0,SamplingData[[#This Row],[Max Error Bound (up)]]/SamplingData[[#Totals],[Max Error Bound (up)]])</f>
        <v>3.2835794502818804E-3</v>
      </c>
      <c r="AD379" s="104">
        <f>SUM($AC$5:AC379)</f>
        <v>0.98451811738877226</v>
      </c>
      <c r="AE379" s="100" t="str" cm="1">
        <f t="array" ref="AE379">IF(SamplingData[[#This Row],[up/U Selection Probability]] = 0, "Zero", TEXT(SamplingData[[#This Row],[Lower Range]], REPT("0",LEN('General Info'!$B$42))) &amp; " - " &amp; TEXT(SamplingData[[#This Row],[Upper Range]], REPT("0",LEN('General Info'!$B$42))))</f>
        <v>98123 - 98451</v>
      </c>
      <c r="AF379" s="100">
        <f>SamplingData[[#This Row],[Upper Range]]-SamplingData[[#This Row],[Span]]</f>
        <v>98123.453793849039</v>
      </c>
      <c r="AG379" s="100">
        <f>IF(ISNUMBER('General Info'!$B$42), ((SamplingData[[#This Row],[up/U Selection Probability]]) * 'General Info'!$B$44) - 1, 0)</f>
        <v>327.35794502818806</v>
      </c>
      <c r="AH379" s="100">
        <f>IF(ISNUMBER('General Info'!$B$42), (SamplingData[[#This Row],[Running (cumulative) sum]] * ('General Info'!$B$42 -'General Info'!$B$43 + 1)) + 'General Info'!$B$43 - 1, 0)</f>
        <v>98450.811738877223</v>
      </c>
      <c r="AI379" s="100" t="str">
        <f>IF(ISERROR(MATCH(SamplingData[[#This Row],[Batch by Type (p)]],SelectedPrecincts[Batch Name], 0)), "", INDEX(SelectedPrecincts[Draw], MATCH(SamplingData[[#This Row],[Batch by Type (p)]],SelectedPrecincts[Batch Name], 0)))</f>
        <v/>
      </c>
      <c r="AJ379" s="101">
        <f>IF(COUNTIF(SelectedPrecincts[Batch Name],SamplingData[[#This Row],[Batch by Type (p)]]) &lt;&gt; 0, COUNTIF(SelectedPrecincts[Batch Name],SamplingData[[#This Row],[Batch by Type (p)]]), 0)</f>
        <v>0</v>
      </c>
    </row>
    <row r="380" spans="1:36" ht="15" customHeight="1" x14ac:dyDescent="0.35">
      <c r="A380" s="98" t="s">
        <v>591</v>
      </c>
      <c r="B380" s="98">
        <v>140</v>
      </c>
      <c r="C380" s="98">
        <v>32</v>
      </c>
      <c r="D380" s="93">
        <v>6</v>
      </c>
      <c r="E380" s="93"/>
      <c r="F380" s="93"/>
      <c r="G380" s="97"/>
      <c r="H380" s="97"/>
      <c r="I380" s="93"/>
      <c r="J380" s="93"/>
      <c r="K380" s="93"/>
      <c r="L380" s="93"/>
      <c r="M380" s="93"/>
      <c r="N380" s="98">
        <v>0</v>
      </c>
      <c r="O380" s="98">
        <v>0</v>
      </c>
      <c r="P380" s="99">
        <f>SUM(SamplingData[[#This Row],[Winning Candidate]:[Under Votes]])</f>
        <v>178</v>
      </c>
      <c r="Q380" s="100">
        <f>IF(AND(SamplingData[[#This Row],[Total]]&lt;&gt; 0, NOT(ISBLANK(SamplingData[[#This Row],[Losing Candidate]]))),(SamplingData[[#This Row],[Total]]+SamplingData[[#This Row],[Winning Candidate]]-SamplingData[[#This Row],[Losing Candidate]])/(SamplingData[[#Totals],[Winning Candidate]]-SamplingData[[#Totals],[Losing Candidate]]), 0)</f>
        <v>1.8077239112571898E-2</v>
      </c>
      <c r="R380" s="100">
        <f>IF(AND(SamplingData[[#This Row],[Total]]&lt;&gt; 0, NOT(ISBLANK(SamplingData[[#This Row],[Candidate 3]]))),(SamplingData[[#This Row],[Total]]+SamplingData[[#This Row],[Winning Candidate]]-SamplingData[[#This Row],[Candidate 3]])/(SamplingData[[#Totals],[Winning Candidate]]-SamplingData[[#Totals],[Candidate 3]]), 0)</f>
        <v>1.7611198916233913E-2</v>
      </c>
      <c r="S380" s="100">
        <f>IF(AND(SamplingData[[#This Row],[Total]]&lt;&gt; 0, NOT(ISBLANK(SamplingData[[#This Row],[Candidate 4]]))),(SamplingData[[#This Row],[Total]]+SamplingData[[#This Row],[Winning Candidate]]-SamplingData[[#This Row],[Candidate 4]])/(SamplingData[[#Totals],[Winning Candidate]]-SamplingData[[#Totals],[Candidate 4]]), 0)</f>
        <v>0</v>
      </c>
      <c r="T380" s="100">
        <f>IF(AND(SamplingData[[#This Row],[Total]]&lt;&gt; 0, NOT(ISBLANK(SamplingData[[#This Row],[Candidate 5]]))),(SamplingData[[#This Row],[Total]]+SamplingData[[#This Row],[Winning Candidate]]-SamplingData[[#This Row],[Candidate 5]])/(SamplingData[[#Totals],[Winning Candidate]]-SamplingData[[#Totals],[Candidate 5]]), 0)</f>
        <v>0</v>
      </c>
      <c r="U380" s="100">
        <f>IF(AND(SamplingData[[#This Row],[Total]]&lt;&gt; 0, NOT(ISBLANK(SamplingData[[#This Row],[Candidate 6]]))),(SamplingData[[#This Row],[Total]]+SamplingData[[#This Row],[Losing Candidate]]-SamplingData[[#This Row],[Candidate 6]])/(SamplingData[[#Totals],[Winning Candidate]]-SamplingData[[#Totals],[Candidate 6]]), 0)</f>
        <v>0</v>
      </c>
      <c r="V380" s="100">
        <f>IF(AND(SamplingData[[#This Row],[Total]]&lt;&gt; 0, NOT(ISBLANK(SamplingData[[#This Row],[Candidate 7]]))),(SamplingData[[#This Row],[Total]]+SamplingData[[#This Row],[Winning Candidate]]-SamplingData[[#This Row],[Candidate 7]])/(SamplingData[[#Totals],[Winning Candidate]]-SamplingData[[#Totals],[Candidate 7]]), 0)</f>
        <v>0</v>
      </c>
      <c r="W380" s="100">
        <f>IF(AND(SamplingData[[#This Row],[Total]]&lt;&gt; 0, NOT(ISBLANK(SamplingData[[#This Row],[Candidate 8]]))),(SamplingData[[#This Row],[Total]]+SamplingData[[#This Row],[Winning Candidate]]-SamplingData[[#This Row],[Candidate 8]])/(SamplingData[[#Totals],[Winning Candidate]]-SamplingData[[#Totals],[Candidate 8]]), 0)</f>
        <v>0</v>
      </c>
      <c r="X38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0" s="100">
        <f>MAX(SamplingData[[#This Row],[Error Bound (up) - Max. possible relative overstatement - Losing Candidate]:[Error Bound (up) - Max. possible relative overstatement - Candidate 12]])</f>
        <v>1.8077239112571898E-2</v>
      </c>
      <c r="AC380" s="100">
        <f>IF(SamplingData[[#This Row],[Max Error Bound (up)]] = 0,0,SamplingData[[#This Row],[Max Error Bound (up)]]/SamplingData[[#Totals],[Max Error Bound (up)]])</f>
        <v>7.3367478342235759E-3</v>
      </c>
      <c r="AD380" s="104">
        <f>SUM($AC$5:AC380)</f>
        <v>0.99185486522299582</v>
      </c>
      <c r="AE380" s="100" t="str" cm="1">
        <f t="array" ref="AE380">IF(SamplingData[[#This Row],[up/U Selection Probability]] = 0, "Zero", TEXT(SamplingData[[#This Row],[Lower Range]], REPT("0",LEN('General Info'!$B$42))) &amp; " - " &amp; TEXT(SamplingData[[#This Row],[Upper Range]], REPT("0",LEN('General Info'!$B$42))))</f>
        <v>98452 - 99184</v>
      </c>
      <c r="AF380" s="100">
        <f>SamplingData[[#This Row],[Upper Range]]-SamplingData[[#This Row],[Span]]</f>
        <v>98451.811738877223</v>
      </c>
      <c r="AG380" s="100">
        <f>IF(ISNUMBER('General Info'!$B$42), ((SamplingData[[#This Row],[up/U Selection Probability]]) * 'General Info'!$B$44) - 1, 0)</f>
        <v>732.67478342235756</v>
      </c>
      <c r="AH380" s="100">
        <f>IF(ISNUMBER('General Info'!$B$42), (SamplingData[[#This Row],[Running (cumulative) sum]] * ('General Info'!$B$42 -'General Info'!$B$43 + 1)) + 'General Info'!$B$43 - 1, 0)</f>
        <v>99184.486522299587</v>
      </c>
      <c r="AI380" s="100" t="str">
        <f>IF(ISERROR(MATCH(SamplingData[[#This Row],[Batch by Type (p)]],SelectedPrecincts[Batch Name], 0)), "", INDEX(SelectedPrecincts[Draw], MATCH(SamplingData[[#This Row],[Batch by Type (p)]],SelectedPrecincts[Batch Name], 0)))</f>
        <v/>
      </c>
      <c r="AJ380" s="101">
        <f>IF(COUNTIF(SelectedPrecincts[Batch Name],SamplingData[[#This Row],[Batch by Type (p)]]) &lt;&gt; 0, COUNTIF(SelectedPrecincts[Batch Name],SamplingData[[#This Row],[Batch by Type (p)]]), 0)</f>
        <v>0</v>
      </c>
    </row>
    <row r="381" spans="1:36" ht="15" customHeight="1" x14ac:dyDescent="0.35">
      <c r="A381" s="98" t="s">
        <v>592</v>
      </c>
      <c r="B381" s="98">
        <v>77</v>
      </c>
      <c r="C381" s="98">
        <v>6</v>
      </c>
      <c r="D381" s="93">
        <v>1</v>
      </c>
      <c r="E381" s="93"/>
      <c r="F381" s="93"/>
      <c r="G381" s="97"/>
      <c r="H381" s="97"/>
      <c r="I381" s="93"/>
      <c r="J381" s="93"/>
      <c r="K381" s="93"/>
      <c r="L381" s="93"/>
      <c r="M381" s="93"/>
      <c r="N381" s="98">
        <v>0</v>
      </c>
      <c r="O381" s="98">
        <v>0</v>
      </c>
      <c r="P381" s="99">
        <f>SUM(SamplingData[[#This Row],[Winning Candidate]:[Under Votes]])</f>
        <v>84</v>
      </c>
      <c r="Q381" s="100">
        <f>IF(AND(SamplingData[[#This Row],[Total]]&lt;&gt; 0, NOT(ISBLANK(SamplingData[[#This Row],[Losing Candidate]]))),(SamplingData[[#This Row],[Total]]+SamplingData[[#This Row],[Winning Candidate]]-SamplingData[[#This Row],[Losing Candidate]])/(SamplingData[[#Totals],[Winning Candidate]]-SamplingData[[#Totals],[Losing Candidate]]), 0)</f>
        <v>9.7971051134567982E-3</v>
      </c>
      <c r="R381" s="100">
        <f>IF(AND(SamplingData[[#This Row],[Total]]&lt;&gt; 0, NOT(ISBLANK(SamplingData[[#This Row],[Candidate 3]]))),(SamplingData[[#This Row],[Total]]+SamplingData[[#This Row],[Winning Candidate]]-SamplingData[[#This Row],[Candidate 3]])/(SamplingData[[#Totals],[Winning Candidate]]-SamplingData[[#Totals],[Candidate 3]]), 0)</f>
        <v>9.0313840596071351E-3</v>
      </c>
      <c r="S381" s="100">
        <f>IF(AND(SamplingData[[#This Row],[Total]]&lt;&gt; 0, NOT(ISBLANK(SamplingData[[#This Row],[Candidate 4]]))),(SamplingData[[#This Row],[Total]]+SamplingData[[#This Row],[Winning Candidate]]-SamplingData[[#This Row],[Candidate 4]])/(SamplingData[[#Totals],[Winning Candidate]]-SamplingData[[#Totals],[Candidate 4]]), 0)</f>
        <v>0</v>
      </c>
      <c r="T381" s="100">
        <f>IF(AND(SamplingData[[#This Row],[Total]]&lt;&gt; 0, NOT(ISBLANK(SamplingData[[#This Row],[Candidate 5]]))),(SamplingData[[#This Row],[Total]]+SamplingData[[#This Row],[Winning Candidate]]-SamplingData[[#This Row],[Candidate 5]])/(SamplingData[[#Totals],[Winning Candidate]]-SamplingData[[#Totals],[Candidate 5]]), 0)</f>
        <v>0</v>
      </c>
      <c r="U381" s="100">
        <f>IF(AND(SamplingData[[#This Row],[Total]]&lt;&gt; 0, NOT(ISBLANK(SamplingData[[#This Row],[Candidate 6]]))),(SamplingData[[#This Row],[Total]]+SamplingData[[#This Row],[Losing Candidate]]-SamplingData[[#This Row],[Candidate 6]])/(SamplingData[[#Totals],[Winning Candidate]]-SamplingData[[#Totals],[Candidate 6]]), 0)</f>
        <v>0</v>
      </c>
      <c r="V381" s="100">
        <f>IF(AND(SamplingData[[#This Row],[Total]]&lt;&gt; 0, NOT(ISBLANK(SamplingData[[#This Row],[Candidate 7]]))),(SamplingData[[#This Row],[Total]]+SamplingData[[#This Row],[Winning Candidate]]-SamplingData[[#This Row],[Candidate 7]])/(SamplingData[[#Totals],[Winning Candidate]]-SamplingData[[#Totals],[Candidate 7]]), 0)</f>
        <v>0</v>
      </c>
      <c r="W381" s="100">
        <f>IF(AND(SamplingData[[#This Row],[Total]]&lt;&gt; 0, NOT(ISBLANK(SamplingData[[#This Row],[Candidate 8]]))),(SamplingData[[#This Row],[Total]]+SamplingData[[#This Row],[Winning Candidate]]-SamplingData[[#This Row],[Candidate 8]])/(SamplingData[[#Totals],[Winning Candidate]]-SamplingData[[#Totals],[Candidate 8]]), 0)</f>
        <v>0</v>
      </c>
      <c r="X38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1" s="100">
        <f>MAX(SamplingData[[#This Row],[Error Bound (up) - Max. possible relative overstatement - Losing Candidate]:[Error Bound (up) - Max. possible relative overstatement - Candidate 12]])</f>
        <v>9.7971051134567982E-3</v>
      </c>
      <c r="AC381" s="100">
        <f>IF(SamplingData[[#This Row],[Max Error Bound (up)]] = 0,0,SamplingData[[#This Row],[Max Error Bound (up)]]/SamplingData[[#Totals],[Max Error Bound (up)]])</f>
        <v>3.9762094905757142E-3</v>
      </c>
      <c r="AD381" s="104">
        <f>SUM($AC$5:AC381)</f>
        <v>0.99583107471357157</v>
      </c>
      <c r="AE381" s="100" t="str" cm="1">
        <f t="array" ref="AE381">IF(SamplingData[[#This Row],[up/U Selection Probability]] = 0, "Zero", TEXT(SamplingData[[#This Row],[Lower Range]], REPT("0",LEN('General Info'!$B$42))) &amp; " - " &amp; TEXT(SamplingData[[#This Row],[Upper Range]], REPT("0",LEN('General Info'!$B$42))))</f>
        <v>99185 - 99582</v>
      </c>
      <c r="AF381" s="100">
        <f>SamplingData[[#This Row],[Upper Range]]-SamplingData[[#This Row],[Span]]</f>
        <v>99185.486522299587</v>
      </c>
      <c r="AG381" s="100">
        <f>IF(ISNUMBER('General Info'!$B$42), ((SamplingData[[#This Row],[up/U Selection Probability]]) * 'General Info'!$B$44) - 1, 0)</f>
        <v>396.62094905757141</v>
      </c>
      <c r="AH381" s="100">
        <f>IF(ISNUMBER('General Info'!$B$42), (SamplingData[[#This Row],[Running (cumulative) sum]] * ('General Info'!$B$42 -'General Info'!$B$43 + 1)) + 'General Info'!$B$43 - 1, 0)</f>
        <v>99582.107471357158</v>
      </c>
      <c r="AI381" s="100" t="str">
        <f>IF(ISERROR(MATCH(SamplingData[[#This Row],[Batch by Type (p)]],SelectedPrecincts[Batch Name], 0)), "", INDEX(SelectedPrecincts[Draw], MATCH(SamplingData[[#This Row],[Batch by Type (p)]],SelectedPrecincts[Batch Name], 0)))</f>
        <v/>
      </c>
      <c r="AJ381" s="101">
        <f>IF(COUNTIF(SelectedPrecincts[Batch Name],SamplingData[[#This Row],[Batch by Type (p)]]) &lt;&gt; 0, COUNTIF(SelectedPrecincts[Batch Name],SamplingData[[#This Row],[Batch by Type (p)]]), 0)</f>
        <v>0</v>
      </c>
    </row>
    <row r="382" spans="1:36" ht="15" customHeight="1" x14ac:dyDescent="0.35">
      <c r="A382" s="98" t="s">
        <v>593</v>
      </c>
      <c r="B382" s="98">
        <v>26</v>
      </c>
      <c r="C382" s="98">
        <v>2</v>
      </c>
      <c r="D382" s="93">
        <v>1</v>
      </c>
      <c r="E382" s="93"/>
      <c r="F382" s="93"/>
      <c r="G382" s="97"/>
      <c r="H382" s="97"/>
      <c r="I382" s="93"/>
      <c r="J382" s="93"/>
      <c r="K382" s="93"/>
      <c r="L382" s="93"/>
      <c r="M382" s="93"/>
      <c r="N382" s="98">
        <v>0</v>
      </c>
      <c r="O382" s="98">
        <v>0</v>
      </c>
      <c r="P382" s="99">
        <f>SUM(SamplingData[[#This Row],[Winning Candidate]:[Under Votes]])</f>
        <v>29</v>
      </c>
      <c r="Q382" s="100">
        <f>IF(AND(SamplingData[[#This Row],[Total]]&lt;&gt; 0, NOT(ISBLANK(SamplingData[[#This Row],[Losing Candidate]]))),(SamplingData[[#This Row],[Total]]+SamplingData[[#This Row],[Winning Candidate]]-SamplingData[[#This Row],[Losing Candidate]])/(SamplingData[[#Totals],[Winning Candidate]]-SamplingData[[#Totals],[Losing Candidate]]), 0)</f>
        <v>3.3499778775045825E-3</v>
      </c>
      <c r="R382" s="100">
        <f>IF(AND(SamplingData[[#This Row],[Total]]&lt;&gt; 0, NOT(ISBLANK(SamplingData[[#This Row],[Candidate 3]]))),(SamplingData[[#This Row],[Total]]+SamplingData[[#This Row],[Winning Candidate]]-SamplingData[[#This Row],[Candidate 3]])/(SamplingData[[#Totals],[Winning Candidate]]-SamplingData[[#Totals],[Candidate 3]]), 0)</f>
        <v>3.0480921201174078E-3</v>
      </c>
      <c r="S382" s="100">
        <f>IF(AND(SamplingData[[#This Row],[Total]]&lt;&gt; 0, NOT(ISBLANK(SamplingData[[#This Row],[Candidate 4]]))),(SamplingData[[#This Row],[Total]]+SamplingData[[#This Row],[Winning Candidate]]-SamplingData[[#This Row],[Candidate 4]])/(SamplingData[[#Totals],[Winning Candidate]]-SamplingData[[#Totals],[Candidate 4]]), 0)</f>
        <v>0</v>
      </c>
      <c r="T382" s="100">
        <f>IF(AND(SamplingData[[#This Row],[Total]]&lt;&gt; 0, NOT(ISBLANK(SamplingData[[#This Row],[Candidate 5]]))),(SamplingData[[#This Row],[Total]]+SamplingData[[#This Row],[Winning Candidate]]-SamplingData[[#This Row],[Candidate 5]])/(SamplingData[[#Totals],[Winning Candidate]]-SamplingData[[#Totals],[Candidate 5]]), 0)</f>
        <v>0</v>
      </c>
      <c r="U382" s="100">
        <f>IF(AND(SamplingData[[#This Row],[Total]]&lt;&gt; 0, NOT(ISBLANK(SamplingData[[#This Row],[Candidate 6]]))),(SamplingData[[#This Row],[Total]]+SamplingData[[#This Row],[Losing Candidate]]-SamplingData[[#This Row],[Candidate 6]])/(SamplingData[[#Totals],[Winning Candidate]]-SamplingData[[#Totals],[Candidate 6]]), 0)</f>
        <v>0</v>
      </c>
      <c r="V382" s="100">
        <f>IF(AND(SamplingData[[#This Row],[Total]]&lt;&gt; 0, NOT(ISBLANK(SamplingData[[#This Row],[Candidate 7]]))),(SamplingData[[#This Row],[Total]]+SamplingData[[#This Row],[Winning Candidate]]-SamplingData[[#This Row],[Candidate 7]])/(SamplingData[[#Totals],[Winning Candidate]]-SamplingData[[#Totals],[Candidate 7]]), 0)</f>
        <v>0</v>
      </c>
      <c r="W382" s="100">
        <f>IF(AND(SamplingData[[#This Row],[Total]]&lt;&gt; 0, NOT(ISBLANK(SamplingData[[#This Row],[Candidate 8]]))),(SamplingData[[#This Row],[Total]]+SamplingData[[#This Row],[Winning Candidate]]-SamplingData[[#This Row],[Candidate 8]])/(SamplingData[[#Totals],[Winning Candidate]]-SamplingData[[#Totals],[Candidate 8]]), 0)</f>
        <v>0</v>
      </c>
      <c r="X38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2" s="100">
        <f>MAX(SamplingData[[#This Row],[Error Bound (up) - Max. possible relative overstatement - Losing Candidate]:[Error Bound (up) - Max. possible relative overstatement - Candidate 12]])</f>
        <v>3.3499778775045825E-3</v>
      </c>
      <c r="AC382" s="100">
        <f>IF(SamplingData[[#This Row],[Max Error Bound (up)]] = 0,0,SamplingData[[#This Row],[Max Error Bound (up)]]/SamplingData[[#Totals],[Max Error Bound (up)]])</f>
        <v>1.359607116132341E-3</v>
      </c>
      <c r="AD382" s="104">
        <f>SUM($AC$5:AC382)</f>
        <v>0.99719068182970394</v>
      </c>
      <c r="AE382" s="100" t="str" cm="1">
        <f t="array" ref="AE382">IF(SamplingData[[#This Row],[up/U Selection Probability]] = 0, "Zero", TEXT(SamplingData[[#This Row],[Lower Range]], REPT("0",LEN('General Info'!$B$42))) &amp; " - " &amp; TEXT(SamplingData[[#This Row],[Upper Range]], REPT("0",LEN('General Info'!$B$42))))</f>
        <v>99583 - 99718</v>
      </c>
      <c r="AF382" s="100">
        <f>SamplingData[[#This Row],[Upper Range]]-SamplingData[[#This Row],[Span]]</f>
        <v>99583.107471357158</v>
      </c>
      <c r="AG382" s="100">
        <f>IF(ISNUMBER('General Info'!$B$42), ((SamplingData[[#This Row],[up/U Selection Probability]]) * 'General Info'!$B$44) - 1, 0)</f>
        <v>134.96071161323411</v>
      </c>
      <c r="AH382" s="100">
        <f>IF(ISNUMBER('General Info'!$B$42), (SamplingData[[#This Row],[Running (cumulative) sum]] * ('General Info'!$B$42 -'General Info'!$B$43 + 1)) + 'General Info'!$B$43 - 1, 0)</f>
        <v>99718.068182970397</v>
      </c>
      <c r="AI382" s="100" t="str">
        <f>IF(ISERROR(MATCH(SamplingData[[#This Row],[Batch by Type (p)]],SelectedPrecincts[Batch Name], 0)), "", INDEX(SelectedPrecincts[Draw], MATCH(SamplingData[[#This Row],[Batch by Type (p)]],SelectedPrecincts[Batch Name], 0)))</f>
        <v/>
      </c>
      <c r="AJ382" s="101">
        <f>IF(COUNTIF(SelectedPrecincts[Batch Name],SamplingData[[#This Row],[Batch by Type (p)]]) &lt;&gt; 0, COUNTIF(SelectedPrecincts[Batch Name],SamplingData[[#This Row],[Batch by Type (p)]]), 0)</f>
        <v>0</v>
      </c>
    </row>
    <row r="383" spans="1:36" ht="15" customHeight="1" x14ac:dyDescent="0.35">
      <c r="A383" s="98" t="s">
        <v>594</v>
      </c>
      <c r="B383" s="98">
        <v>23</v>
      </c>
      <c r="C383" s="98">
        <v>4</v>
      </c>
      <c r="D383" s="93">
        <v>1</v>
      </c>
      <c r="E383" s="93"/>
      <c r="F383" s="93"/>
      <c r="G383" s="97"/>
      <c r="H383" s="97"/>
      <c r="I383" s="93"/>
      <c r="J383" s="93"/>
      <c r="K383" s="93"/>
      <c r="L383" s="93"/>
      <c r="M383" s="93"/>
      <c r="N383" s="98">
        <v>0</v>
      </c>
      <c r="O383" s="98">
        <v>0</v>
      </c>
      <c r="P383" s="99">
        <f>SUM(SamplingData[[#This Row],[Winning Candidate]:[Under Votes]])</f>
        <v>28</v>
      </c>
      <c r="Q383" s="100">
        <f>IF(AND(SamplingData[[#This Row],[Total]]&lt;&gt; 0, NOT(ISBLANK(SamplingData[[#This Row],[Losing Candidate]]))),(SamplingData[[#This Row],[Total]]+SamplingData[[#This Row],[Winning Candidate]]-SamplingData[[#This Row],[Losing Candidate]])/(SamplingData[[#Totals],[Winning Candidate]]-SamplingData[[#Totals],[Losing Candidate]]), 0)</f>
        <v>2.970735098919158E-3</v>
      </c>
      <c r="R383" s="100">
        <f>IF(AND(SamplingData[[#This Row],[Total]]&lt;&gt; 0, NOT(ISBLANK(SamplingData[[#This Row],[Candidate 3]]))),(SamplingData[[#This Row],[Total]]+SamplingData[[#This Row],[Winning Candidate]]-SamplingData[[#This Row],[Candidate 3]])/(SamplingData[[#Totals],[Winning Candidate]]-SamplingData[[#Totals],[Candidate 3]]), 0)</f>
        <v>2.8223075186272297E-3</v>
      </c>
      <c r="S383" s="100">
        <f>IF(AND(SamplingData[[#This Row],[Total]]&lt;&gt; 0, NOT(ISBLANK(SamplingData[[#This Row],[Candidate 4]]))),(SamplingData[[#This Row],[Total]]+SamplingData[[#This Row],[Winning Candidate]]-SamplingData[[#This Row],[Candidate 4]])/(SamplingData[[#Totals],[Winning Candidate]]-SamplingData[[#Totals],[Candidate 4]]), 0)</f>
        <v>0</v>
      </c>
      <c r="T383" s="100">
        <f>IF(AND(SamplingData[[#This Row],[Total]]&lt;&gt; 0, NOT(ISBLANK(SamplingData[[#This Row],[Candidate 5]]))),(SamplingData[[#This Row],[Total]]+SamplingData[[#This Row],[Winning Candidate]]-SamplingData[[#This Row],[Candidate 5]])/(SamplingData[[#Totals],[Winning Candidate]]-SamplingData[[#Totals],[Candidate 5]]), 0)</f>
        <v>0</v>
      </c>
      <c r="U383" s="100">
        <f>IF(AND(SamplingData[[#This Row],[Total]]&lt;&gt; 0, NOT(ISBLANK(SamplingData[[#This Row],[Candidate 6]]))),(SamplingData[[#This Row],[Total]]+SamplingData[[#This Row],[Losing Candidate]]-SamplingData[[#This Row],[Candidate 6]])/(SamplingData[[#Totals],[Winning Candidate]]-SamplingData[[#Totals],[Candidate 6]]), 0)</f>
        <v>0</v>
      </c>
      <c r="V383" s="100">
        <f>IF(AND(SamplingData[[#This Row],[Total]]&lt;&gt; 0, NOT(ISBLANK(SamplingData[[#This Row],[Candidate 7]]))),(SamplingData[[#This Row],[Total]]+SamplingData[[#This Row],[Winning Candidate]]-SamplingData[[#This Row],[Candidate 7]])/(SamplingData[[#Totals],[Winning Candidate]]-SamplingData[[#Totals],[Candidate 7]]), 0)</f>
        <v>0</v>
      </c>
      <c r="W383" s="100">
        <f>IF(AND(SamplingData[[#This Row],[Total]]&lt;&gt; 0, NOT(ISBLANK(SamplingData[[#This Row],[Candidate 8]]))),(SamplingData[[#This Row],[Total]]+SamplingData[[#This Row],[Winning Candidate]]-SamplingData[[#This Row],[Candidate 8]])/(SamplingData[[#Totals],[Winning Candidate]]-SamplingData[[#Totals],[Candidate 8]]), 0)</f>
        <v>0</v>
      </c>
      <c r="X38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3" s="100">
        <f>MAX(SamplingData[[#This Row],[Error Bound (up) - Max. possible relative overstatement - Losing Candidate]:[Error Bound (up) - Max. possible relative overstatement - Candidate 12]])</f>
        <v>2.970735098919158E-3</v>
      </c>
      <c r="AC383" s="100">
        <f>IF(SamplingData[[#This Row],[Max Error Bound (up)]] = 0,0,SamplingData[[#This Row],[Max Error Bound (up)]]/SamplingData[[#Totals],[Max Error Bound (up)]])</f>
        <v>1.2056893294003779E-3</v>
      </c>
      <c r="AD383" s="104">
        <f>SUM($AC$5:AC383)</f>
        <v>0.99839637115910429</v>
      </c>
      <c r="AE383" s="100" t="str" cm="1">
        <f t="array" ref="AE383">IF(SamplingData[[#This Row],[up/U Selection Probability]] = 0, "Zero", TEXT(SamplingData[[#This Row],[Lower Range]], REPT("0",LEN('General Info'!$B$42))) &amp; " - " &amp; TEXT(SamplingData[[#This Row],[Upper Range]], REPT("0",LEN('General Info'!$B$42))))</f>
        <v>99719 - 99839</v>
      </c>
      <c r="AF383" s="100">
        <f>SamplingData[[#This Row],[Upper Range]]-SamplingData[[#This Row],[Span]]</f>
        <v>99719.068182970397</v>
      </c>
      <c r="AG383" s="100">
        <f>IF(ISNUMBER('General Info'!$B$42), ((SamplingData[[#This Row],[up/U Selection Probability]]) * 'General Info'!$B$44) - 1, 0)</f>
        <v>119.56893294003778</v>
      </c>
      <c r="AH383" s="100">
        <f>IF(ISNUMBER('General Info'!$B$42), (SamplingData[[#This Row],[Running (cumulative) sum]] * ('General Info'!$B$42 -'General Info'!$B$43 + 1)) + 'General Info'!$B$43 - 1, 0)</f>
        <v>99838.637115910431</v>
      </c>
      <c r="AI383" s="100" t="str">
        <f>IF(ISERROR(MATCH(SamplingData[[#This Row],[Batch by Type (p)]],SelectedPrecincts[Batch Name], 0)), "", INDEX(SelectedPrecincts[Draw], MATCH(SamplingData[[#This Row],[Batch by Type (p)]],SelectedPrecincts[Batch Name], 0)))</f>
        <v/>
      </c>
      <c r="AJ383" s="101">
        <f>IF(COUNTIF(SelectedPrecincts[Batch Name],SamplingData[[#This Row],[Batch by Type (p)]]) &lt;&gt; 0, COUNTIF(SelectedPrecincts[Batch Name],SamplingData[[#This Row],[Batch by Type (p)]]), 0)</f>
        <v>0</v>
      </c>
    </row>
    <row r="384" spans="1:36" ht="15" customHeight="1" x14ac:dyDescent="0.35">
      <c r="A384" s="98" t="s">
        <v>595</v>
      </c>
      <c r="B384" s="98">
        <v>31</v>
      </c>
      <c r="C384" s="98">
        <v>8</v>
      </c>
      <c r="D384" s="93">
        <v>0</v>
      </c>
      <c r="E384" s="93"/>
      <c r="F384" s="93"/>
      <c r="G384" s="97"/>
      <c r="H384" s="97"/>
      <c r="I384" s="93"/>
      <c r="J384" s="93"/>
      <c r="K384" s="93"/>
      <c r="L384" s="93"/>
      <c r="M384" s="93"/>
      <c r="N384" s="98">
        <v>0</v>
      </c>
      <c r="O384" s="98">
        <v>0</v>
      </c>
      <c r="P384" s="99">
        <f>SUM(SamplingData[[#This Row],[Winning Candidate]:[Under Votes]])</f>
        <v>39</v>
      </c>
      <c r="Q384" s="100">
        <f>IF(AND(SamplingData[[#This Row],[Total]]&lt;&gt; 0, NOT(ISBLANK(SamplingData[[#This Row],[Losing Candidate]]))),(SamplingData[[#This Row],[Total]]+SamplingData[[#This Row],[Winning Candidate]]-SamplingData[[#This Row],[Losing Candidate]])/(SamplingData[[#Totals],[Winning Candidate]]-SamplingData[[#Totals],[Losing Candidate]]), 0)</f>
        <v>3.9188420453827189E-3</v>
      </c>
      <c r="R384" s="100">
        <f>IF(AND(SamplingData[[#This Row],[Total]]&lt;&gt; 0, NOT(ISBLANK(SamplingData[[#This Row],[Candidate 3]]))),(SamplingData[[#This Row],[Total]]+SamplingData[[#This Row],[Winning Candidate]]-SamplingData[[#This Row],[Candidate 3]])/(SamplingData[[#Totals],[Winning Candidate]]-SamplingData[[#Totals],[Candidate 3]]), 0)</f>
        <v>3.9512305260781212E-3</v>
      </c>
      <c r="S384" s="100">
        <f>IF(AND(SamplingData[[#This Row],[Total]]&lt;&gt; 0, NOT(ISBLANK(SamplingData[[#This Row],[Candidate 4]]))),(SamplingData[[#This Row],[Total]]+SamplingData[[#This Row],[Winning Candidate]]-SamplingData[[#This Row],[Candidate 4]])/(SamplingData[[#Totals],[Winning Candidate]]-SamplingData[[#Totals],[Candidate 4]]), 0)</f>
        <v>0</v>
      </c>
      <c r="T384" s="100">
        <f>IF(AND(SamplingData[[#This Row],[Total]]&lt;&gt; 0, NOT(ISBLANK(SamplingData[[#This Row],[Candidate 5]]))),(SamplingData[[#This Row],[Total]]+SamplingData[[#This Row],[Winning Candidate]]-SamplingData[[#This Row],[Candidate 5]])/(SamplingData[[#Totals],[Winning Candidate]]-SamplingData[[#Totals],[Candidate 5]]), 0)</f>
        <v>0</v>
      </c>
      <c r="U384" s="100">
        <f>IF(AND(SamplingData[[#This Row],[Total]]&lt;&gt; 0, NOT(ISBLANK(SamplingData[[#This Row],[Candidate 6]]))),(SamplingData[[#This Row],[Total]]+SamplingData[[#This Row],[Losing Candidate]]-SamplingData[[#This Row],[Candidate 6]])/(SamplingData[[#Totals],[Winning Candidate]]-SamplingData[[#Totals],[Candidate 6]]), 0)</f>
        <v>0</v>
      </c>
      <c r="V384" s="100">
        <f>IF(AND(SamplingData[[#This Row],[Total]]&lt;&gt; 0, NOT(ISBLANK(SamplingData[[#This Row],[Candidate 7]]))),(SamplingData[[#This Row],[Total]]+SamplingData[[#This Row],[Winning Candidate]]-SamplingData[[#This Row],[Candidate 7]])/(SamplingData[[#Totals],[Winning Candidate]]-SamplingData[[#Totals],[Candidate 7]]), 0)</f>
        <v>0</v>
      </c>
      <c r="W384" s="100">
        <f>IF(AND(SamplingData[[#This Row],[Total]]&lt;&gt; 0, NOT(ISBLANK(SamplingData[[#This Row],[Candidate 8]]))),(SamplingData[[#This Row],[Total]]+SamplingData[[#This Row],[Winning Candidate]]-SamplingData[[#This Row],[Candidate 8]])/(SamplingData[[#Totals],[Winning Candidate]]-SamplingData[[#Totals],[Candidate 8]]), 0)</f>
        <v>0</v>
      </c>
      <c r="X38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4" s="100">
        <f>MAX(SamplingData[[#This Row],[Error Bound (up) - Max. possible relative overstatement - Losing Candidate]:[Error Bound (up) - Max. possible relative overstatement - Candidate 12]])</f>
        <v>3.9512305260781212E-3</v>
      </c>
      <c r="AC384" s="100">
        <f>IF(SamplingData[[#This Row],[Max Error Bound (up)]] = 0,0,SamplingData[[#This Row],[Max Error Bound (up)]]/SamplingData[[#Totals],[Max Error Bound (up)]])</f>
        <v>1.6036288408975616E-3</v>
      </c>
      <c r="AD384" s="104">
        <f>SUM($AC$5:AC384)</f>
        <v>1.0000000000000018</v>
      </c>
      <c r="AE384" s="100" t="str" cm="1">
        <f t="array" ref="AE384">IF(SamplingData[[#This Row],[up/U Selection Probability]] = 0, "Zero", TEXT(SamplingData[[#This Row],[Lower Range]], REPT("0",LEN('General Info'!$B$42))) &amp; " - " &amp; TEXT(SamplingData[[#This Row],[Upper Range]], REPT("0",LEN('General Info'!$B$42))))</f>
        <v>99840 - 99999</v>
      </c>
      <c r="AF384" s="100">
        <f>SamplingData[[#This Row],[Upper Range]]-SamplingData[[#This Row],[Span]]</f>
        <v>99839.637115910416</v>
      </c>
      <c r="AG384" s="100">
        <f>IF(ISNUMBER('General Info'!$B$42), ((SamplingData[[#This Row],[up/U Selection Probability]]) * 'General Info'!$B$44) - 1, 0)</f>
        <v>159.36288408975616</v>
      </c>
      <c r="AH384" s="100">
        <f>IF(ISNUMBER('General Info'!$B$42), (SamplingData[[#This Row],[Running (cumulative) sum]] * ('General Info'!$B$42 -'General Info'!$B$43 + 1)) + 'General Info'!$B$43 - 1, 0)</f>
        <v>99999.000000000175</v>
      </c>
      <c r="AI384" s="100" t="str">
        <f>IF(ISERROR(MATCH(SamplingData[[#This Row],[Batch by Type (p)]],SelectedPrecincts[Batch Name], 0)), "", INDEX(SelectedPrecincts[Draw], MATCH(SamplingData[[#This Row],[Batch by Type (p)]],SelectedPrecincts[Batch Name], 0)))</f>
        <v/>
      </c>
      <c r="AJ384" s="101">
        <f>IF(COUNTIF(SelectedPrecincts[Batch Name],SamplingData[[#This Row],[Batch by Type (p)]]) &lt;&gt; 0, COUNTIF(SelectedPrecincts[Batch Name],SamplingData[[#This Row],[Batch by Type (p)]]), 0)</f>
        <v>0</v>
      </c>
    </row>
    <row r="385" spans="1:36" ht="15" customHeight="1" x14ac:dyDescent="0.35">
      <c r="A385" s="105">
        <f>SUBTOTAL(103,SamplingData[Batch by Type (p)])</f>
        <v>380</v>
      </c>
      <c r="B385" s="105">
        <f>SUM(SamplingData[Winning Candidate])</f>
        <v>18747</v>
      </c>
      <c r="C385" s="105">
        <f>SUM(SamplingData[Losing Candidate])</f>
        <v>2926</v>
      </c>
      <c r="D385" s="105">
        <f>SUM(SamplingData[Candidate 3])</f>
        <v>1031</v>
      </c>
      <c r="E385" s="105">
        <f>SUM(SamplingData[Candidate 4])</f>
        <v>0</v>
      </c>
      <c r="F385" s="105">
        <f>SUM(SamplingData[Candidate 5])</f>
        <v>0</v>
      </c>
      <c r="G385" s="105">
        <f>SUBTOTAL(109,SamplingData[Candidate 6])</f>
        <v>0</v>
      </c>
      <c r="H385" s="105">
        <f>SUBTOTAL(109,SamplingData[Candidate 7])</f>
        <v>0</v>
      </c>
      <c r="I385" s="105">
        <f>SUM(SamplingData[Candidate 8])</f>
        <v>0</v>
      </c>
      <c r="J385" s="105"/>
      <c r="K385" s="105"/>
      <c r="L385" s="105"/>
      <c r="M385" s="105"/>
      <c r="N385" s="105">
        <f>SUM(SamplingData[Over Votes])</f>
        <v>17</v>
      </c>
      <c r="O385" s="105">
        <f>SUM(SamplingData[Under Votes])</f>
        <v>203</v>
      </c>
      <c r="P385" s="106">
        <f>SUM(SamplingData[Total])</f>
        <v>22924</v>
      </c>
      <c r="Q385" s="105">
        <f>SUM(SamplingData[Error Bound (up) - Max. possible relative overstatement - Losing Candidate])</f>
        <v>2.4489602427153767</v>
      </c>
      <c r="R385" s="105">
        <f>SUM(SamplingData[Error Bound (up) - Max. possible relative overstatement - Candidate 3])</f>
        <v>2.2939715511402099</v>
      </c>
      <c r="S385" s="105">
        <f>SUM(SamplingData[Error Bound (up) - Max. possible relative overstatement - Candidate 4])</f>
        <v>0</v>
      </c>
      <c r="T385" s="105">
        <f>SUM(SamplingData[Error Bound (up) - Max. possible relative overstatement - Candidate 5])</f>
        <v>0</v>
      </c>
      <c r="U385" s="105">
        <f>SUBTOTAL(109,SamplingData[Error Bound (up) - Max. possible relative overstatement - Candidate 6])</f>
        <v>0</v>
      </c>
      <c r="V385" s="105">
        <f>SUBTOTAL(109,SamplingData[Error Bound (up) - Max. possible relative overstatement - Candidate 7])</f>
        <v>0</v>
      </c>
      <c r="W385" s="105">
        <f>SUM(SamplingData[Error Bound (up) - Max. possible relative overstatement - Candidate 8])</f>
        <v>0</v>
      </c>
      <c r="X385" s="105">
        <f>SUM(SamplingData[Error Bound (up) - Max. possible relative overstatement - Candidate 9])</f>
        <v>0</v>
      </c>
      <c r="Y385" s="105">
        <f>SUM(SamplingData[Error Bound (up) - Max. possible relative overstatement - Candidate 10])</f>
        <v>0</v>
      </c>
      <c r="Z385" s="105">
        <f>SUM(SamplingData[Error Bound (up) - Max. possible relative overstatement - Candidate 11])</f>
        <v>0</v>
      </c>
      <c r="AA385" s="105">
        <f>SUM(SamplingData[Error Bound (up) - Max. possible relative overstatement - Candidate 12])</f>
        <v>0</v>
      </c>
      <c r="AB385" s="105">
        <f>SUM(SamplingData[Max Error Bound (up)])</f>
        <v>2.4639308207169632</v>
      </c>
      <c r="AC385" s="105">
        <f>SUM(SamplingData[up/U Selection Probability])</f>
        <v>1.0000000000000018</v>
      </c>
      <c r="AD385" s="105">
        <f>SUM(SamplingData[Running (cumulative) sum])</f>
        <v>137.76396112127313</v>
      </c>
      <c r="AE385" s="105" t="str">
        <f>IF(OR(NOT(ISNUMBER('General Info'!$B$42)), NOT(ISNUMBER('General Info'!$B$43))), "UNDEFINED", TEXT(MIN(SamplingData[Lower Range]), REPT("0",LEN('General Info'!$B$42))) &amp; " - " &amp; TEXT(MAX(SamplingData[Upper Range]), REPT("0",LEN('General Info'!$B$42))))</f>
        <v>00000 - 99999</v>
      </c>
      <c r="AF385" s="105">
        <f>SUM(SamplingData[Lower Range])</f>
        <v>13676396.112127315</v>
      </c>
      <c r="AG385" s="105">
        <f>SUM(SamplingData[Span])</f>
        <v>99620.000000000073</v>
      </c>
      <c r="AH385" s="105">
        <f>SUM(SamplingData[Upper Range])</f>
        <v>13776016.112127315</v>
      </c>
      <c r="AI385" s="105" t="s">
        <v>0</v>
      </c>
      <c r="AJ385" s="106">
        <f>COUNTIF(SamplingData[Times p Drawn - With Replacement], "&lt;&gt;0")</f>
        <v>5</v>
      </c>
    </row>
  </sheetData>
  <sortState xmlns:xlrd2="http://schemas.microsoft.com/office/spreadsheetml/2017/richdata2" ref="A2:AS31">
    <sortCondition descending="1" ref="AC2:AC31"/>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2"/>
  <sheetViews>
    <sheetView topLeftCell="A6" zoomScaleNormal="100" workbookViewId="0">
      <selection activeCell="A3" sqref="A3:C3"/>
    </sheetView>
  </sheetViews>
  <sheetFormatPr defaultRowHeight="15" customHeight="1" x14ac:dyDescent="0.35"/>
  <cols>
    <col min="1" max="1" width="4.54296875" customWidth="1"/>
    <col min="2" max="2" width="3.26953125" style="16" customWidth="1"/>
    <col min="3" max="3" width="87.1796875" customWidth="1"/>
    <col min="4" max="4" width="71.453125" style="75" bestFit="1" customWidth="1"/>
  </cols>
  <sheetData>
    <row r="1" spans="1:3" ht="18" customHeight="1" x14ac:dyDescent="0.35">
      <c r="A1" s="154" t="str">
        <f ca="1">MID(CELL("filename",$A$2), FIND("]", CELL("filename",$A$2)) + 1, 255)</f>
        <v>Instructions</v>
      </c>
      <c r="B1" s="155"/>
      <c r="C1" s="156"/>
    </row>
    <row r="2" spans="1:3" ht="33.75" customHeight="1" x14ac:dyDescent="0.35">
      <c r="A2" s="165" t="s">
        <v>126</v>
      </c>
      <c r="B2" s="166"/>
      <c r="C2" s="167"/>
    </row>
    <row r="3" spans="1:3" ht="20.25" customHeight="1" x14ac:dyDescent="0.35">
      <c r="A3" s="168" t="s">
        <v>151</v>
      </c>
      <c r="B3" s="169"/>
      <c r="C3" s="170"/>
    </row>
    <row r="4" spans="1:3" ht="20.25" customHeight="1" x14ac:dyDescent="0.35">
      <c r="A4" s="168" t="str">
        <f>"Note: Paste data as values only (see item " &amp; $A$57 &amp; " below)."</f>
        <v>Note: Paste data as values only (see item S1 below).</v>
      </c>
      <c r="B4" s="169"/>
      <c r="C4" s="170"/>
    </row>
    <row r="5" spans="1:3" ht="20.25" customHeight="1" x14ac:dyDescent="0.35">
      <c r="A5" s="171" t="s">
        <v>127</v>
      </c>
      <c r="B5" s="172"/>
      <c r="C5" s="173"/>
    </row>
    <row r="6" spans="1:3" ht="35.25" customHeight="1" x14ac:dyDescent="0.35">
      <c r="A6" s="71">
        <v>1</v>
      </c>
      <c r="B6" s="174" t="s">
        <v>118</v>
      </c>
      <c r="C6" s="175"/>
    </row>
    <row r="7" spans="1:3" ht="18.75" customHeight="1" x14ac:dyDescent="0.35">
      <c r="A7" s="149">
        <v>2</v>
      </c>
      <c r="B7" s="176"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77"/>
    </row>
    <row r="8" spans="1:3" ht="18" customHeight="1" x14ac:dyDescent="0.35">
      <c r="A8" s="150"/>
      <c r="B8" s="58" t="s">
        <v>137</v>
      </c>
      <c r="C8" s="51" t="s">
        <v>128</v>
      </c>
    </row>
    <row r="9" spans="1:3" ht="17.25" customHeight="1" x14ac:dyDescent="0.35">
      <c r="A9" s="150"/>
      <c r="B9" s="58" t="s">
        <v>138</v>
      </c>
      <c r="C9" s="51" t="s">
        <v>129</v>
      </c>
    </row>
    <row r="10" spans="1:3" ht="18" customHeight="1" x14ac:dyDescent="0.35">
      <c r="A10" s="150"/>
      <c r="B10" s="58" t="s">
        <v>139</v>
      </c>
      <c r="C10" s="51" t="s">
        <v>130</v>
      </c>
    </row>
    <row r="11" spans="1:3" ht="18" customHeight="1" x14ac:dyDescent="0.35">
      <c r="A11" s="150"/>
      <c r="B11" s="58" t="s">
        <v>140</v>
      </c>
      <c r="C11" s="51" t="s">
        <v>162</v>
      </c>
    </row>
    <row r="12" spans="1:3" ht="18" customHeight="1" x14ac:dyDescent="0.35">
      <c r="A12" s="150"/>
      <c r="B12" s="58" t="s">
        <v>141</v>
      </c>
      <c r="C12" s="51" t="s">
        <v>163</v>
      </c>
    </row>
    <row r="13" spans="1:3" ht="14.5" x14ac:dyDescent="0.35">
      <c r="A13" s="150"/>
      <c r="B13" s="58" t="s">
        <v>142</v>
      </c>
      <c r="C13" s="51" t="s">
        <v>164</v>
      </c>
    </row>
    <row r="14" spans="1:3" ht="33" customHeight="1" x14ac:dyDescent="0.35">
      <c r="A14" s="150"/>
      <c r="B14" s="58" t="s">
        <v>143</v>
      </c>
      <c r="C14" s="51" t="s">
        <v>131</v>
      </c>
    </row>
    <row r="15" spans="1:3" ht="36" customHeight="1" x14ac:dyDescent="0.35">
      <c r="A15" s="151"/>
      <c r="B15" s="59" t="s">
        <v>144</v>
      </c>
      <c r="C15" s="51" t="s">
        <v>165</v>
      </c>
    </row>
    <row r="16" spans="1:3" ht="31.5" customHeight="1" x14ac:dyDescent="0.35">
      <c r="A16" s="142">
        <v>3</v>
      </c>
      <c r="B16" s="145"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46"/>
    </row>
    <row r="17" spans="1:3" ht="30" customHeight="1" x14ac:dyDescent="0.35">
      <c r="A17" s="143"/>
      <c r="B17" s="61" t="s">
        <v>137</v>
      </c>
      <c r="C17" s="62" t="s">
        <v>132</v>
      </c>
    </row>
    <row r="18" spans="1:3" ht="16.5" customHeight="1" x14ac:dyDescent="0.35">
      <c r="A18" s="143"/>
      <c r="B18" s="61"/>
      <c r="C18" s="63" t="s">
        <v>208</v>
      </c>
    </row>
    <row r="19" spans="1:3" ht="18.75" customHeight="1" x14ac:dyDescent="0.35">
      <c r="A19" s="144"/>
      <c r="B19" s="64" t="s">
        <v>138</v>
      </c>
      <c r="C19" s="65" t="str">
        <f>"Hide any remaining unused rows if desired (see item "&amp;$A$61&amp;" below)."</f>
        <v>Hide any remaining unused rows if desired (see item S2 below).</v>
      </c>
    </row>
    <row r="20" spans="1:3" ht="18.75" customHeight="1" x14ac:dyDescent="0.35">
      <c r="A20" s="137">
        <v>4</v>
      </c>
      <c r="B20" s="140" t="str">
        <f ca="1">"Enter/Import election data into the '"&amp;MID(CELL("filename",'Sampling Data'!A4), FIND("]", CELL("filename",'Sampling Data'!A4)) + 1, 255) &amp; "' spreadsheet."</f>
        <v>Enter/Import election data into the 'Sampling Data' spreadsheet.</v>
      </c>
      <c r="C20" s="141"/>
    </row>
    <row r="21" spans="1:3" ht="18.75" customHeight="1" x14ac:dyDescent="0.35">
      <c r="A21" s="138"/>
      <c r="B21" s="58" t="s">
        <v>137</v>
      </c>
      <c r="C21" s="51" t="s">
        <v>134</v>
      </c>
    </row>
    <row r="22" spans="1:3" ht="17.25" customHeight="1" x14ac:dyDescent="0.35">
      <c r="A22" s="138"/>
      <c r="B22" s="58" t="s">
        <v>138</v>
      </c>
      <c r="C22" s="51" t="s">
        <v>145</v>
      </c>
    </row>
    <row r="23" spans="1:3" ht="33.75" customHeight="1" x14ac:dyDescent="0.35">
      <c r="A23" s="138"/>
      <c r="B23" s="58"/>
      <c r="C23" s="52" t="s">
        <v>159</v>
      </c>
    </row>
    <row r="24" spans="1:3" ht="19.5" customHeight="1" x14ac:dyDescent="0.35">
      <c r="A24" s="138"/>
      <c r="B24" s="58" t="s">
        <v>139</v>
      </c>
      <c r="C24" s="51" t="s">
        <v>155</v>
      </c>
    </row>
    <row r="25" spans="1:3" ht="28.5" customHeight="1" x14ac:dyDescent="0.35">
      <c r="A25" s="138"/>
      <c r="B25" s="58" t="s">
        <v>140</v>
      </c>
      <c r="C25" s="51" t="str">
        <f>"Determine the total number of rows needed and extend or shrink the table by the necessary
amount (see items "&amp;$A$70&amp;", " &amp;$A$74&amp; " below)."</f>
        <v>Determine the total number of rows needed and extend or shrink the table by the necessary
amount (see items S4, S5 below).</v>
      </c>
    </row>
    <row r="26" spans="1:3" ht="18.75" customHeight="1" x14ac:dyDescent="0.35">
      <c r="A26" s="138"/>
      <c r="B26" s="58"/>
      <c r="C26" s="52" t="s">
        <v>135</v>
      </c>
    </row>
    <row r="27" spans="1:3" ht="33.75" customHeight="1" x14ac:dyDescent="0.35">
      <c r="A27" s="138"/>
      <c r="B27" s="58" t="s">
        <v>141</v>
      </c>
      <c r="C27" s="51" t="s">
        <v>133</v>
      </c>
    </row>
    <row r="28" spans="1:3" ht="14.5" x14ac:dyDescent="0.35">
      <c r="A28" s="138"/>
      <c r="B28" s="58" t="s">
        <v>142</v>
      </c>
      <c r="C28" s="102" t="s">
        <v>179</v>
      </c>
    </row>
    <row r="29" spans="1:3" ht="33.75" customHeight="1" x14ac:dyDescent="0.35">
      <c r="A29" s="139"/>
      <c r="B29" s="59" t="s">
        <v>143</v>
      </c>
      <c r="C29" s="53" t="str">
        <f>"You may hide any column with the words 'UNDEFINED' in the header (see item "&amp;$A$61&amp;" 
below)."</f>
        <v>You may hide any column with the words 'UNDEFINED' in the header (see item S2 
below).</v>
      </c>
    </row>
    <row r="30" spans="1:3" ht="19.5" customHeight="1" x14ac:dyDescent="0.35">
      <c r="A30" s="142">
        <v>5</v>
      </c>
      <c r="B30" s="145" t="s">
        <v>136</v>
      </c>
      <c r="C30" s="146"/>
    </row>
    <row r="31" spans="1:3" ht="18.75" customHeight="1" x14ac:dyDescent="0.35">
      <c r="A31" s="143"/>
      <c r="B31" s="61" t="s">
        <v>137</v>
      </c>
      <c r="C31" s="62" t="s">
        <v>209</v>
      </c>
    </row>
    <row r="32" spans="1:3" ht="18.75" customHeight="1" x14ac:dyDescent="0.35">
      <c r="A32" s="143"/>
      <c r="B32" s="61" t="s">
        <v>138</v>
      </c>
      <c r="C32" s="62" t="s">
        <v>210</v>
      </c>
    </row>
    <row r="33" spans="1:3" ht="19.5" customHeight="1" x14ac:dyDescent="0.35">
      <c r="A33" s="143"/>
      <c r="B33" s="61" t="s">
        <v>139</v>
      </c>
      <c r="C33" s="62" t="s">
        <v>211</v>
      </c>
    </row>
    <row r="34" spans="1:3" ht="50.25" customHeight="1" x14ac:dyDescent="0.35">
      <c r="A34" s="144"/>
      <c r="B34" s="64" t="s">
        <v>140</v>
      </c>
      <c r="C34" s="65" t="s">
        <v>212</v>
      </c>
    </row>
    <row r="35" spans="1:3" ht="18.75" customHeight="1" x14ac:dyDescent="0.35">
      <c r="A35" s="137">
        <v>6</v>
      </c>
      <c r="B35" s="140" t="str">
        <f ca="1">"Select the batches to audit on the spreadsheet titled: '" &amp; MID(CELL("filename",'Selected Batches'!$A$2), FIND("]", CELL("filename",'Selected Batches'!$A$2)) + 1, 255) &amp; "'."</f>
        <v>Select the batches to audit on the spreadsheet titled: 'Selected Batches'.</v>
      </c>
      <c r="C35" s="141"/>
    </row>
    <row r="36" spans="1:3" ht="48" customHeight="1" x14ac:dyDescent="0.35">
      <c r="A36" s="138"/>
      <c r="B36" s="58" t="s">
        <v>137</v>
      </c>
      <c r="C36" s="55"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row>
    <row r="37" spans="1:3" ht="45" customHeight="1" x14ac:dyDescent="0.35">
      <c r="A37" s="138"/>
      <c r="B37" s="58" t="s">
        <v>138</v>
      </c>
      <c r="C37" s="51"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row>
    <row r="38" spans="1:3" ht="19.5" customHeight="1" x14ac:dyDescent="0.35">
      <c r="A38" s="138"/>
      <c r="B38" s="58"/>
      <c r="C38" s="52" t="s">
        <v>115</v>
      </c>
    </row>
    <row r="39" spans="1:3" ht="36.75" customHeight="1" x14ac:dyDescent="0.35">
      <c r="A39" s="139"/>
      <c r="B39" s="59" t="s">
        <v>139</v>
      </c>
      <c r="C39" s="53"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row>
    <row r="40" spans="1:3" ht="18" customHeight="1" x14ac:dyDescent="0.35">
      <c r="A40" s="142">
        <v>7</v>
      </c>
      <c r="B40" s="145" t="str">
        <f ca="1">"Enter the audit results in the spreadsheet titled: '" &amp; MID(CELL("filename",Audit!$A$3), FIND("]", CELL("filename",Audit!$A$3)) + 1, 255) &amp; "'."</f>
        <v>Enter the audit results in the spreadsheet titled: 'Audit'.</v>
      </c>
      <c r="C40" s="146"/>
    </row>
    <row r="41" spans="1:3" ht="13.5" customHeight="1" x14ac:dyDescent="0.35">
      <c r="A41" s="143"/>
      <c r="B41" s="61" t="s">
        <v>137</v>
      </c>
      <c r="C41" s="62" t="str">
        <f>"Adjust the size of the table; see items " &amp;$A$70 &amp; ", " &amp; $A$74 &amp; " below."</f>
        <v>Adjust the size of the table; see items S4, S5 below.</v>
      </c>
    </row>
    <row r="42" spans="1:3" ht="18" customHeight="1" x14ac:dyDescent="0.35">
      <c r="A42" s="143"/>
      <c r="B42" s="61"/>
      <c r="C42" s="63" t="str">
        <f ca="1">"Note: The number of rows will need to match the number of rows in '" &amp; MID(CELL("filename",'Sampling Data'!A4), FIND("]", CELL("filename",'Sampling Data'!A4)) + 1, 255) &amp; "'."</f>
        <v>Note: The number of rows will need to match the number of rows in 'Sampling Data'.</v>
      </c>
    </row>
    <row r="43" spans="1:3" ht="18" customHeight="1" x14ac:dyDescent="0.35">
      <c r="A43" s="143"/>
      <c r="B43" s="61" t="s">
        <v>138</v>
      </c>
      <c r="C43" s="103" t="s">
        <v>179</v>
      </c>
    </row>
    <row r="44" spans="1:3" ht="20.25" customHeight="1" x14ac:dyDescent="0.35">
      <c r="A44" s="143"/>
      <c r="B44" s="61" t="s">
        <v>139</v>
      </c>
      <c r="C44" s="62" t="str">
        <f>"Hide any columns that have 'Undefined' in the header, see item " &amp; $A$61 &amp; "."</f>
        <v>Hide any columns that have 'Undefined' in the header, see item S2.</v>
      </c>
    </row>
    <row r="45" spans="1:3" ht="34.5" customHeight="1" x14ac:dyDescent="0.35">
      <c r="A45" s="143"/>
      <c r="B45" s="61" t="s">
        <v>140</v>
      </c>
      <c r="C45" s="62" t="str">
        <f>"Using the drop down filter button for the column labeled: '" &amp; Audit!$A$4 &amp; "', 
select 'Sort A to Z', to sort by batch."</f>
        <v>Using the drop down filter button for the column labeled: 'Selection - Batch picked for audit', 
select 'Sort A to Z', to sort by batch.</v>
      </c>
    </row>
    <row r="46" spans="1:3" ht="34.5" customHeight="1" x14ac:dyDescent="0.35">
      <c r="A46" s="143"/>
      <c r="B46" s="61" t="s">
        <v>141</v>
      </c>
      <c r="C46" s="62" t="str">
        <f>"Using the drop down filter button for the column labeled: '" &amp; Audit!$A$4 &amp; "', 
 uncheck 'Blanks'."</f>
        <v>Using the drop down filter button for the column labeled: 'Selection - Batch picked for audit', 
 uncheck 'Blanks'.</v>
      </c>
    </row>
    <row r="47" spans="1:3" ht="19.5" customHeight="1" x14ac:dyDescent="0.35">
      <c r="A47" s="143"/>
      <c r="B47" s="61" t="s">
        <v>142</v>
      </c>
      <c r="C47" s="62" t="s">
        <v>157</v>
      </c>
    </row>
    <row r="48" spans="1:3" ht="30.75" customHeight="1" x14ac:dyDescent="0.35">
      <c r="A48" s="143"/>
      <c r="B48" s="61" t="s">
        <v>143</v>
      </c>
      <c r="C48" s="62" t="str">
        <f>"If there are any differences, enter the reason for it in the column labeled: '" &amp; Audit[[#Headers],[Reason For Differences]] &amp; "'."</f>
        <v>If there are any differences, enter the reason for it in the column labeled: 'Reason For Differences'.</v>
      </c>
    </row>
    <row r="49" spans="1:3" ht="33.75" customHeight="1" x14ac:dyDescent="0.35">
      <c r="A49" s="143"/>
      <c r="B49" s="61" t="s">
        <v>144</v>
      </c>
      <c r="C49" s="62" t="s">
        <v>119</v>
      </c>
    </row>
    <row r="50" spans="1:3" ht="20.25" customHeight="1" x14ac:dyDescent="0.35">
      <c r="A50" s="144"/>
      <c r="B50" s="64" t="s">
        <v>213</v>
      </c>
      <c r="C50" s="65" t="str">
        <f>"If more batches are needed due to errors, repeat previous steps above starting with " &amp;$A$35&amp;"."&amp;$B$37&amp;""</f>
        <v>If more batches are needed due to errors, repeat previous steps above starting with 6.b.</v>
      </c>
    </row>
    <row r="51" spans="1:3" ht="30" customHeight="1" x14ac:dyDescent="0.35">
      <c r="A51" s="137">
        <v>8</v>
      </c>
      <c r="B51" s="140"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41"/>
    </row>
    <row r="52" spans="1:3" ht="21" customHeight="1" x14ac:dyDescent="0.35">
      <c r="A52" s="139"/>
      <c r="B52" s="147" t="s">
        <v>120</v>
      </c>
      <c r="C52" s="148"/>
    </row>
    <row r="53" spans="1:3" ht="24.75" customHeight="1" x14ac:dyDescent="0.35">
      <c r="A53" s="66">
        <v>9</v>
      </c>
      <c r="B53" s="163" t="s">
        <v>108</v>
      </c>
      <c r="C53" s="164"/>
    </row>
    <row r="54" spans="1:3" ht="25.5" customHeight="1" x14ac:dyDescent="0.35">
      <c r="A54" s="60">
        <v>10</v>
      </c>
      <c r="B54" s="152" t="s">
        <v>107</v>
      </c>
      <c r="C54" s="153"/>
    </row>
    <row r="55" spans="1:3" ht="18" customHeight="1" x14ac:dyDescent="0.35">
      <c r="A55" s="154" t="s">
        <v>154</v>
      </c>
      <c r="B55" s="155"/>
      <c r="C55" s="156"/>
    </row>
    <row r="56" spans="1:3" ht="20.25" customHeight="1" x14ac:dyDescent="0.35">
      <c r="A56" s="160" t="s">
        <v>153</v>
      </c>
      <c r="B56" s="161"/>
      <c r="C56" s="162"/>
    </row>
    <row r="57" spans="1:3" ht="19.5" customHeight="1" x14ac:dyDescent="0.35">
      <c r="A57" s="157" t="s">
        <v>109</v>
      </c>
      <c r="B57" s="145" t="s">
        <v>152</v>
      </c>
      <c r="C57" s="146"/>
    </row>
    <row r="58" spans="1:3" ht="18.75" customHeight="1" x14ac:dyDescent="0.35">
      <c r="A58" s="158"/>
      <c r="B58" s="67" t="s">
        <v>137</v>
      </c>
      <c r="C58" s="62" t="s">
        <v>214</v>
      </c>
    </row>
    <row r="59" spans="1:3" ht="32.25" customHeight="1" x14ac:dyDescent="0.35">
      <c r="A59" s="158"/>
      <c r="B59" s="67" t="s">
        <v>138</v>
      </c>
      <c r="C59" s="62" t="s">
        <v>121</v>
      </c>
    </row>
    <row r="60" spans="1:3" ht="19.5" customHeight="1" x14ac:dyDescent="0.35">
      <c r="A60" s="159"/>
      <c r="B60" s="68" t="s">
        <v>139</v>
      </c>
      <c r="C60" s="65" t="s">
        <v>117</v>
      </c>
    </row>
    <row r="61" spans="1:3" ht="18.75" customHeight="1" x14ac:dyDescent="0.35">
      <c r="A61" s="137" t="s">
        <v>110</v>
      </c>
      <c r="B61" s="140" t="s">
        <v>146</v>
      </c>
      <c r="C61" s="141"/>
    </row>
    <row r="62" spans="1:3" ht="33.75" customHeight="1" x14ac:dyDescent="0.35">
      <c r="A62" s="138"/>
      <c r="B62" s="54" t="s">
        <v>137</v>
      </c>
      <c r="C62" s="55" t="s">
        <v>147</v>
      </c>
    </row>
    <row r="63" spans="1:3" ht="18.75" customHeight="1" x14ac:dyDescent="0.35">
      <c r="A63" s="138"/>
      <c r="B63" s="54" t="s">
        <v>138</v>
      </c>
      <c r="C63" s="55" t="s">
        <v>148</v>
      </c>
    </row>
    <row r="64" spans="1:3" ht="18.75" customHeight="1" x14ac:dyDescent="0.35">
      <c r="A64" s="139"/>
      <c r="B64" s="57" t="s">
        <v>139</v>
      </c>
      <c r="C64" s="56" t="s">
        <v>101</v>
      </c>
    </row>
    <row r="65" spans="1:3" ht="18.75" customHeight="1" x14ac:dyDescent="0.35">
      <c r="A65" s="142" t="s">
        <v>111</v>
      </c>
      <c r="B65" s="145" t="s">
        <v>149</v>
      </c>
      <c r="C65" s="146"/>
    </row>
    <row r="66" spans="1:3" ht="33.75" customHeight="1" x14ac:dyDescent="0.35">
      <c r="A66" s="143"/>
      <c r="B66" s="61" t="s">
        <v>137</v>
      </c>
      <c r="C66" s="69" t="str">
        <f>"Select the first row/column before the row/column you wish to unhide using the method 
outlined in "&amp;$A$61&amp;" above."</f>
        <v>Select the first row/column before the row/column you wish to unhide using the method 
outlined in S2 above.</v>
      </c>
    </row>
    <row r="67" spans="1:3" ht="35.25" customHeight="1" x14ac:dyDescent="0.35">
      <c r="A67" s="143"/>
      <c r="B67" s="61" t="s">
        <v>138</v>
      </c>
      <c r="C67" s="69" t="str">
        <f>"While holding down the 'Shift' key, select the row/column after the row/column you wish to 
unhide (refer to "&amp;$A$61&amp;" above)."</f>
        <v>While holding down the 'Shift' key, select the row/column after the row/column you wish to 
unhide (refer to S2 above).</v>
      </c>
    </row>
    <row r="68" spans="1:3" ht="18.75" customHeight="1" x14ac:dyDescent="0.35">
      <c r="A68" s="143"/>
      <c r="B68" s="61" t="s">
        <v>139</v>
      </c>
      <c r="C68" s="69" t="s">
        <v>150</v>
      </c>
    </row>
    <row r="69" spans="1:3" ht="20.25" customHeight="1" x14ac:dyDescent="0.35">
      <c r="A69" s="144"/>
      <c r="B69" s="64" t="s">
        <v>140</v>
      </c>
      <c r="C69" s="70" t="s">
        <v>102</v>
      </c>
    </row>
    <row r="70" spans="1:3" ht="19.5" customHeight="1" x14ac:dyDescent="0.35">
      <c r="A70" s="137" t="s">
        <v>112</v>
      </c>
      <c r="B70" s="140" t="s">
        <v>105</v>
      </c>
      <c r="C70" s="141"/>
    </row>
    <row r="71" spans="1:3" ht="19.5" customHeight="1" x14ac:dyDescent="0.35">
      <c r="A71" s="138"/>
      <c r="B71" s="54" t="s">
        <v>137</v>
      </c>
      <c r="C71" s="55" t="s">
        <v>116</v>
      </c>
    </row>
    <row r="72" spans="1:3" ht="35.25" customHeight="1" x14ac:dyDescent="0.35">
      <c r="A72" s="138"/>
      <c r="B72" s="54" t="s">
        <v>138</v>
      </c>
      <c r="C72" s="55" t="s">
        <v>122</v>
      </c>
    </row>
    <row r="73" spans="1:3" ht="51" customHeight="1" x14ac:dyDescent="0.35">
      <c r="A73" s="139"/>
      <c r="B73" s="57" t="s">
        <v>139</v>
      </c>
      <c r="C73" s="56" t="s">
        <v>160</v>
      </c>
    </row>
    <row r="74" spans="1:3" ht="19.5" customHeight="1" x14ac:dyDescent="0.35">
      <c r="A74" s="142" t="s">
        <v>114</v>
      </c>
      <c r="B74" s="145" t="s">
        <v>106</v>
      </c>
      <c r="C74" s="146"/>
    </row>
    <row r="75" spans="1:3" ht="21" customHeight="1" x14ac:dyDescent="0.35">
      <c r="A75" s="143"/>
      <c r="B75" s="61" t="s">
        <v>137</v>
      </c>
      <c r="C75" s="69" t="s">
        <v>116</v>
      </c>
    </row>
    <row r="76" spans="1:3" ht="35.25" customHeight="1" x14ac:dyDescent="0.35">
      <c r="A76" s="143"/>
      <c r="B76" s="61" t="s">
        <v>138</v>
      </c>
      <c r="C76" s="69" t="s">
        <v>123</v>
      </c>
    </row>
    <row r="77" spans="1:3" ht="49.5" customHeight="1" x14ac:dyDescent="0.35">
      <c r="A77" s="143"/>
      <c r="B77" s="61" t="s">
        <v>139</v>
      </c>
      <c r="C77" s="69" t="s">
        <v>158</v>
      </c>
    </row>
    <row r="78" spans="1:3" ht="21.75" customHeight="1" x14ac:dyDescent="0.35">
      <c r="A78" s="144"/>
      <c r="B78" s="64" t="s">
        <v>140</v>
      </c>
      <c r="C78" s="70" t="s">
        <v>156</v>
      </c>
    </row>
    <row r="79" spans="1:3" ht="15" customHeight="1" x14ac:dyDescent="0.35">
      <c r="A79" s="137" t="s">
        <v>180</v>
      </c>
      <c r="B79" s="140" t="s">
        <v>181</v>
      </c>
      <c r="C79" s="141"/>
    </row>
    <row r="80" spans="1:3" ht="15" customHeight="1" x14ac:dyDescent="0.35">
      <c r="A80" s="138"/>
      <c r="B80" s="54" t="s">
        <v>137</v>
      </c>
      <c r="C80" s="55" t="s">
        <v>182</v>
      </c>
    </row>
    <row r="81" spans="1:3" ht="15" customHeight="1" x14ac:dyDescent="0.35">
      <c r="A81" s="138"/>
      <c r="B81" s="54" t="s">
        <v>138</v>
      </c>
      <c r="C81" s="55" t="s">
        <v>215</v>
      </c>
    </row>
    <row r="82" spans="1:3" ht="15" customHeight="1" x14ac:dyDescent="0.35">
      <c r="A82" s="139"/>
      <c r="B82" s="57" t="s">
        <v>139</v>
      </c>
      <c r="C82" s="56" t="s">
        <v>183</v>
      </c>
    </row>
  </sheetData>
  <mergeCells count="37">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79:A82"/>
    <mergeCell ref="B79:C79"/>
    <mergeCell ref="A70:A73"/>
    <mergeCell ref="A74:A78"/>
    <mergeCell ref="B70:C70"/>
    <mergeCell ref="B74:C74"/>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Todd Cooper</cp:lastModifiedBy>
  <cp:lastPrinted>2025-05-14T12:48:52Z</cp:lastPrinted>
  <dcterms:created xsi:type="dcterms:W3CDTF">2011-07-25T20:10:01Z</dcterms:created>
  <dcterms:modified xsi:type="dcterms:W3CDTF">2025-05-20T16:09:13Z</dcterms:modified>
</cp:coreProperties>
</file>